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raphael/Downloads/"/>
    </mc:Choice>
  </mc:AlternateContent>
  <xr:revisionPtr revIDLastSave="0" documentId="8_{9C70D8F5-9343-0647-9135-201B76D79CC5}" xr6:coauthVersionLast="47" xr6:coauthVersionMax="47" xr10:uidLastSave="{00000000-0000-0000-0000-000000000000}"/>
  <bookViews>
    <workbookView xWindow="0" yWindow="0" windowWidth="28800" windowHeight="18000" tabRatio="779" activeTab="1" xr2:uid="{00000000-000D-0000-FFFF-FFFF00000000}"/>
  </bookViews>
  <sheets>
    <sheet name="Output" sheetId="1" r:id="rId1"/>
    <sheet name="Graphs" sheetId="2" r:id="rId2"/>
    <sheet name="Ass." sheetId="3" r:id="rId3"/>
    <sheet name="Scen. &amp; Sensi." sheetId="4" r:id="rId4"/>
    <sheet name="IM Price Import" sheetId="5" r:id="rId5"/>
    <sheet name="Gas prc." sheetId="6" r:id="rId6"/>
    <sheet name="Elec prc." sheetId="7" r:id="rId7"/>
    <sheet name="Const." sheetId="8" r:id="rId8"/>
    <sheet name="Ops." sheetId="9" r:id="rId9"/>
    <sheet name="Rev." sheetId="10" r:id="rId10"/>
    <sheet name="3 Stats." sheetId="11" r:id="rId11"/>
    <sheet name="Financ." sheetId="12" r:id="rId12"/>
    <sheet name="Gear." sheetId="13" r:id="rId13"/>
    <sheet name="Val." sheetId="14" r:id="rId14"/>
  </sheets>
  <definedNames>
    <definedName name="_xlnm.Print_Area" localSheetId="10">'3 Stats.'!$A$1:$AQ$79</definedName>
    <definedName name="_xlnm.Print_Area" localSheetId="2">Ass.!$A$1:$AB$44</definedName>
    <definedName name="_xlnm.Print_Area" localSheetId="7">'Const.'!$A$1:$AE$35</definedName>
    <definedName name="_xlnm.Print_Area" localSheetId="6">'Elec prc.'!$A$1:$BA$6</definedName>
    <definedName name="_xlnm.Print_Area" localSheetId="11">Financ.!$A$1:$AQ$27</definedName>
    <definedName name="_xlnm.Print_Area" localSheetId="5">'Gas prc.'!$A$1:$AR$9</definedName>
    <definedName name="_xlnm.Print_Area" localSheetId="12">Gear.!$A$1:$AQ$57</definedName>
    <definedName name="_xlnm.Print_Area" localSheetId="8">Ops.!$A$1:$AQ$47</definedName>
    <definedName name="_xlnm.Print_Area" localSheetId="0">Output!$A$1:$E$47</definedName>
    <definedName name="_xlnm.Print_Area" localSheetId="9">'Rev.'!$A$1:$AQ$27</definedName>
    <definedName name="_xlnm.Print_Area" localSheetId="3">'Scen. &amp; Sensi.'!$I$1:$Q$26</definedName>
    <definedName name="_xlnm.Print_Area" localSheetId="13">Val.!$A$1:$AQ$27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7" i="14" l="1"/>
  <c r="AG7" i="14"/>
  <c r="R7" i="14"/>
  <c r="Q7" i="14"/>
  <c r="Z5" i="14"/>
  <c r="AA5" i="14" s="1"/>
  <c r="AB5" i="14" s="1"/>
  <c r="AC5" i="14" s="1"/>
  <c r="AD5" i="14" s="1"/>
  <c r="AE5" i="14" s="1"/>
  <c r="AF5" i="14" s="1"/>
  <c r="AG5" i="14" s="1"/>
  <c r="AH5" i="14" s="1"/>
  <c r="AI5" i="14" s="1"/>
  <c r="AJ5" i="14" s="1"/>
  <c r="AK5" i="14" s="1"/>
  <c r="AL5" i="14" s="1"/>
  <c r="AM5" i="14" s="1"/>
  <c r="AN5" i="14" s="1"/>
  <c r="AO5" i="14" s="1"/>
  <c r="AP5" i="14" s="1"/>
  <c r="AQ5" i="14" s="1"/>
  <c r="K5" i="14"/>
  <c r="L5" i="14" s="1"/>
  <c r="M5" i="14" s="1"/>
  <c r="N5" i="14" s="1"/>
  <c r="O5" i="14" s="1"/>
  <c r="P5" i="14" s="1"/>
  <c r="Q5" i="14" s="1"/>
  <c r="R5" i="14" s="1"/>
  <c r="S5" i="14" s="1"/>
  <c r="T5" i="14" s="1"/>
  <c r="U5" i="14" s="1"/>
  <c r="V5" i="14" s="1"/>
  <c r="W5" i="14" s="1"/>
  <c r="X5" i="14" s="1"/>
  <c r="Y5" i="14" s="1"/>
  <c r="B49" i="13"/>
  <c r="B48" i="13"/>
  <c r="B42" i="13"/>
  <c r="B43" i="13" s="1"/>
  <c r="B44" i="13" s="1"/>
  <c r="B39" i="13"/>
  <c r="B40" i="13" s="1"/>
  <c r="B41" i="13" s="1"/>
  <c r="D37" i="13"/>
  <c r="E37" i="13" s="1"/>
  <c r="F37" i="13" s="1"/>
  <c r="G37" i="13" s="1"/>
  <c r="H37" i="13" s="1"/>
  <c r="Z5" i="13"/>
  <c r="AA5" i="13" s="1"/>
  <c r="AB5" i="13" s="1"/>
  <c r="AC5" i="13" s="1"/>
  <c r="AD5" i="13" s="1"/>
  <c r="AE5" i="13" s="1"/>
  <c r="AF5" i="13" s="1"/>
  <c r="AG5" i="13" s="1"/>
  <c r="AH5" i="13" s="1"/>
  <c r="AI5" i="13" s="1"/>
  <c r="AJ5" i="13" s="1"/>
  <c r="AK5" i="13" s="1"/>
  <c r="AL5" i="13" s="1"/>
  <c r="AM5" i="13" s="1"/>
  <c r="AN5" i="13" s="1"/>
  <c r="AO5" i="13" s="1"/>
  <c r="AP5" i="13" s="1"/>
  <c r="AQ5" i="13" s="1"/>
  <c r="S5" i="13"/>
  <c r="T5" i="13" s="1"/>
  <c r="U5" i="13" s="1"/>
  <c r="V5" i="13" s="1"/>
  <c r="W5" i="13" s="1"/>
  <c r="X5" i="13" s="1"/>
  <c r="Y5" i="13" s="1"/>
  <c r="K5" i="13"/>
  <c r="L5" i="13" s="1"/>
  <c r="M5" i="13" s="1"/>
  <c r="N5" i="13" s="1"/>
  <c r="O5" i="13" s="1"/>
  <c r="P5" i="13" s="1"/>
  <c r="Q5" i="13" s="1"/>
  <c r="R5" i="13" s="1"/>
  <c r="AQ25" i="12"/>
  <c r="AQ7" i="14" s="1"/>
  <c r="AP25" i="12"/>
  <c r="AP7" i="14" s="1"/>
  <c r="AO25" i="12"/>
  <c r="AO7" i="14" s="1"/>
  <c r="AN25" i="12"/>
  <c r="AM25" i="12"/>
  <c r="AM7" i="14" s="1"/>
  <c r="AL25" i="12"/>
  <c r="AL7" i="14" s="1"/>
  <c r="AK25" i="12"/>
  <c r="AK7" i="14" s="1"/>
  <c r="AJ25" i="12"/>
  <c r="AJ7" i="14" s="1"/>
  <c r="AI25" i="12"/>
  <c r="AI7" i="14" s="1"/>
  <c r="AH25" i="12"/>
  <c r="AG25" i="12"/>
  <c r="AF25" i="12"/>
  <c r="AF7" i="14" s="1"/>
  <c r="AE25" i="12"/>
  <c r="AE7" i="14" s="1"/>
  <c r="AD25" i="12"/>
  <c r="AD7" i="14" s="1"/>
  <c r="AC25" i="12"/>
  <c r="AC7" i="14" s="1"/>
  <c r="AB25" i="12"/>
  <c r="AB7" i="14" s="1"/>
  <c r="AA25" i="12"/>
  <c r="AA7" i="14" s="1"/>
  <c r="Z25" i="12"/>
  <c r="Z7" i="14" s="1"/>
  <c r="Y25" i="12"/>
  <c r="Y7" i="14" s="1"/>
  <c r="X25" i="12"/>
  <c r="X7" i="14" s="1"/>
  <c r="W25" i="12"/>
  <c r="W7" i="14" s="1"/>
  <c r="V25" i="12"/>
  <c r="V7" i="14" s="1"/>
  <c r="U25" i="12"/>
  <c r="U7" i="14" s="1"/>
  <c r="T25" i="12"/>
  <c r="T7" i="14" s="1"/>
  <c r="S25" i="12"/>
  <c r="R25" i="12"/>
  <c r="Q25" i="12"/>
  <c r="P25" i="12"/>
  <c r="P7" i="14" s="1"/>
  <c r="O25" i="12"/>
  <c r="O7" i="14" s="1"/>
  <c r="L20" i="12"/>
  <c r="L21" i="11" s="1"/>
  <c r="L39" i="11" s="1"/>
  <c r="L21" i="13" s="1"/>
  <c r="K20" i="12"/>
  <c r="J20" i="12"/>
  <c r="AQ14" i="12"/>
  <c r="AP14" i="12"/>
  <c r="AO14" i="12"/>
  <c r="AN14" i="12"/>
  <c r="AM14" i="12"/>
  <c r="AL14" i="12"/>
  <c r="AK14" i="12"/>
  <c r="AJ14" i="12"/>
  <c r="AI14" i="12"/>
  <c r="AH14" i="12"/>
  <c r="AG14" i="12"/>
  <c r="AF14" i="12"/>
  <c r="AE14" i="12"/>
  <c r="AD14" i="12"/>
  <c r="AC14" i="12"/>
  <c r="AB14" i="12"/>
  <c r="AA14" i="12"/>
  <c r="Z14" i="12"/>
  <c r="Y14" i="12"/>
  <c r="X14" i="12"/>
  <c r="W14" i="12"/>
  <c r="V14" i="12"/>
  <c r="U14" i="12"/>
  <c r="T14" i="12"/>
  <c r="S14" i="12"/>
  <c r="R14" i="12"/>
  <c r="Q14" i="12"/>
  <c r="P14" i="12"/>
  <c r="O14" i="12"/>
  <c r="M7" i="12"/>
  <c r="L7" i="12"/>
  <c r="K7" i="12"/>
  <c r="J7" i="12"/>
  <c r="K5" i="12"/>
  <c r="L5" i="12" s="1"/>
  <c r="M5" i="12" s="1"/>
  <c r="L40" i="11"/>
  <c r="L22" i="13" s="1"/>
  <c r="K40" i="11"/>
  <c r="K22" i="13" s="1"/>
  <c r="J40" i="11"/>
  <c r="J22" i="13" s="1"/>
  <c r="AQ37" i="11"/>
  <c r="AP37" i="11"/>
  <c r="AO37" i="11"/>
  <c r="AN37" i="11"/>
  <c r="AM37" i="11"/>
  <c r="AL37" i="11"/>
  <c r="AK37" i="11"/>
  <c r="AJ37" i="11"/>
  <c r="AI37" i="11"/>
  <c r="AH37" i="11"/>
  <c r="AG37" i="11"/>
  <c r="AF37" i="11"/>
  <c r="AE37" i="11"/>
  <c r="AD37" i="11"/>
  <c r="AC37" i="11"/>
  <c r="AB37" i="11"/>
  <c r="AA37" i="11"/>
  <c r="Z37" i="11"/>
  <c r="Y37" i="11"/>
  <c r="X37" i="11"/>
  <c r="W37" i="11"/>
  <c r="V37" i="11"/>
  <c r="U37" i="11"/>
  <c r="T37" i="11"/>
  <c r="S37" i="11"/>
  <c r="R37" i="11"/>
  <c r="Q37" i="11"/>
  <c r="P37" i="11"/>
  <c r="O37" i="11"/>
  <c r="AP34" i="11"/>
  <c r="AO34" i="11"/>
  <c r="AL34" i="11"/>
  <c r="AK34" i="11"/>
  <c r="AJ34" i="11"/>
  <c r="AI34" i="11"/>
  <c r="AH34" i="11"/>
  <c r="AG34" i="11"/>
  <c r="AF34" i="11"/>
  <c r="AD34" i="11"/>
  <c r="AC34" i="11"/>
  <c r="AB34" i="11"/>
  <c r="AA34" i="11"/>
  <c r="Z34" i="11"/>
  <c r="Y34" i="11"/>
  <c r="V34" i="11"/>
  <c r="U34" i="11"/>
  <c r="T34" i="11"/>
  <c r="R34" i="11"/>
  <c r="Q34" i="11"/>
  <c r="P34" i="11"/>
  <c r="AQ33" i="11"/>
  <c r="AP33" i="11"/>
  <c r="AO33" i="11"/>
  <c r="AN33" i="11"/>
  <c r="AM33" i="11"/>
  <c r="AL33" i="11"/>
  <c r="AK33" i="11"/>
  <c r="AJ33" i="11"/>
  <c r="AI33" i="11"/>
  <c r="AH33" i="11"/>
  <c r="AG33" i="11"/>
  <c r="AF33" i="11"/>
  <c r="AE33" i="11"/>
  <c r="AD33" i="11"/>
  <c r="AC33" i="11"/>
  <c r="AB33" i="11"/>
  <c r="AA33" i="11"/>
  <c r="Z33" i="11"/>
  <c r="Y33" i="11"/>
  <c r="X33" i="11"/>
  <c r="W33" i="11"/>
  <c r="V33" i="11"/>
  <c r="U33" i="11"/>
  <c r="T33" i="11"/>
  <c r="S33" i="11"/>
  <c r="R33" i="11"/>
  <c r="Q33" i="11"/>
  <c r="P33" i="11"/>
  <c r="O33" i="11"/>
  <c r="K21" i="11"/>
  <c r="K39" i="11" s="1"/>
  <c r="K21" i="13" s="1"/>
  <c r="J21" i="11"/>
  <c r="J39" i="11" s="1"/>
  <c r="J21" i="13" s="1"/>
  <c r="K5" i="11"/>
  <c r="L5" i="11" s="1"/>
  <c r="M5" i="11" s="1"/>
  <c r="N5" i="11" s="1"/>
  <c r="O5" i="11" s="1"/>
  <c r="P5" i="11" s="1"/>
  <c r="Q5" i="11" s="1"/>
  <c r="R5" i="11" s="1"/>
  <c r="S5" i="11" s="1"/>
  <c r="T5" i="11" s="1"/>
  <c r="U5" i="11" s="1"/>
  <c r="V5" i="11" s="1"/>
  <c r="W5" i="11" s="1"/>
  <c r="X5" i="11" s="1"/>
  <c r="Y5" i="11" s="1"/>
  <c r="Z5" i="11" s="1"/>
  <c r="AA5" i="11" s="1"/>
  <c r="AB5" i="11" s="1"/>
  <c r="AC5" i="11" s="1"/>
  <c r="AD5" i="11" s="1"/>
  <c r="AE5" i="11" s="1"/>
  <c r="AF5" i="11" s="1"/>
  <c r="AG5" i="11" s="1"/>
  <c r="AH5" i="11" s="1"/>
  <c r="AI5" i="11" s="1"/>
  <c r="AJ5" i="11" s="1"/>
  <c r="AK5" i="11" s="1"/>
  <c r="AL5" i="11" s="1"/>
  <c r="AM5" i="11" s="1"/>
  <c r="AN5" i="11" s="1"/>
  <c r="AO5" i="11" s="1"/>
  <c r="AP5" i="11" s="1"/>
  <c r="AQ5" i="11" s="1"/>
  <c r="R5" i="10"/>
  <c r="S5" i="10" s="1"/>
  <c r="T5" i="10" s="1"/>
  <c r="U5" i="10" s="1"/>
  <c r="V5" i="10" s="1"/>
  <c r="W5" i="10" s="1"/>
  <c r="X5" i="10" s="1"/>
  <c r="Y5" i="10" s="1"/>
  <c r="Z5" i="10" s="1"/>
  <c r="AA5" i="10" s="1"/>
  <c r="AB5" i="10" s="1"/>
  <c r="AC5" i="10" s="1"/>
  <c r="AD5" i="10" s="1"/>
  <c r="AE5" i="10" s="1"/>
  <c r="AF5" i="10" s="1"/>
  <c r="AG5" i="10" s="1"/>
  <c r="AH5" i="10" s="1"/>
  <c r="AI5" i="10" s="1"/>
  <c r="AJ5" i="10" s="1"/>
  <c r="AK5" i="10" s="1"/>
  <c r="AL5" i="10" s="1"/>
  <c r="AM5" i="10" s="1"/>
  <c r="AN5" i="10" s="1"/>
  <c r="AO5" i="10" s="1"/>
  <c r="AP5" i="10" s="1"/>
  <c r="AQ5" i="10" s="1"/>
  <c r="Q5" i="10"/>
  <c r="O5" i="10"/>
  <c r="P5" i="10" s="1"/>
  <c r="K5" i="10"/>
  <c r="L5" i="10" s="1"/>
  <c r="M5" i="10" s="1"/>
  <c r="N5" i="10" s="1"/>
  <c r="K5" i="9"/>
  <c r="M34" i="8"/>
  <c r="L34" i="8"/>
  <c r="J29" i="8"/>
  <c r="D16" i="8"/>
  <c r="E6" i="8"/>
  <c r="J5" i="8"/>
  <c r="I5" i="8"/>
  <c r="K4" i="8"/>
  <c r="J4" i="8"/>
  <c r="Q3" i="8"/>
  <c r="R3" i="8" s="1"/>
  <c r="S3" i="8" s="1"/>
  <c r="T3" i="8" s="1"/>
  <c r="U3" i="8" s="1"/>
  <c r="V3" i="8" s="1"/>
  <c r="W3" i="8" s="1"/>
  <c r="X3" i="8" s="1"/>
  <c r="Y3" i="8" s="1"/>
  <c r="Z3" i="8" s="1"/>
  <c r="AA3" i="8" s="1"/>
  <c r="AB3" i="8" s="1"/>
  <c r="M3" i="8"/>
  <c r="N3" i="8" s="1"/>
  <c r="O3" i="8" s="1"/>
  <c r="P3" i="8" s="1"/>
  <c r="K3" i="8"/>
  <c r="L3" i="8" s="1"/>
  <c r="J3" i="8"/>
  <c r="O5" i="7"/>
  <c r="P5" i="7" s="1"/>
  <c r="Q5" i="7" s="1"/>
  <c r="R5" i="7" s="1"/>
  <c r="S5" i="7" s="1"/>
  <c r="T5" i="7" s="1"/>
  <c r="U5" i="7" s="1"/>
  <c r="V5" i="7" s="1"/>
  <c r="W5" i="7" s="1"/>
  <c r="X5" i="7" s="1"/>
  <c r="Y5" i="7" s="1"/>
  <c r="Z5" i="7" s="1"/>
  <c r="AA5" i="7" s="1"/>
  <c r="AB5" i="7" s="1"/>
  <c r="AC5" i="7" s="1"/>
  <c r="AD5" i="7" s="1"/>
  <c r="AE5" i="7" s="1"/>
  <c r="AF5" i="7" s="1"/>
  <c r="AG5" i="7" s="1"/>
  <c r="AH5" i="7" s="1"/>
  <c r="AI5" i="7" s="1"/>
  <c r="AJ5" i="7" s="1"/>
  <c r="AK5" i="7" s="1"/>
  <c r="AL5" i="7" s="1"/>
  <c r="AM5" i="7" s="1"/>
  <c r="AN5" i="7" s="1"/>
  <c r="AO5" i="7" s="1"/>
  <c r="AP5" i="7" s="1"/>
  <c r="AQ5" i="7" s="1"/>
  <c r="M5" i="7"/>
  <c r="N5" i="7" s="1"/>
  <c r="K5" i="7"/>
  <c r="L5" i="7" s="1"/>
  <c r="K12" i="6"/>
  <c r="J9" i="6"/>
  <c r="K7" i="6"/>
  <c r="J7" i="6"/>
  <c r="J12" i="6" s="1"/>
  <c r="M5" i="6"/>
  <c r="L5" i="6"/>
  <c r="K5" i="6"/>
  <c r="O65" i="5"/>
  <c r="L65" i="5"/>
  <c r="K65" i="5"/>
  <c r="J65" i="5"/>
  <c r="D65" i="5"/>
  <c r="Q64" i="5"/>
  <c r="P64" i="5"/>
  <c r="O64" i="5"/>
  <c r="M64" i="5"/>
  <c r="L64" i="5"/>
  <c r="N64" i="5" s="1"/>
  <c r="K64" i="5"/>
  <c r="J64" i="5"/>
  <c r="D64" i="5"/>
  <c r="Q63" i="5"/>
  <c r="O63" i="5"/>
  <c r="P63" i="5" s="1"/>
  <c r="K63" i="5"/>
  <c r="J63" i="5"/>
  <c r="D63" i="5"/>
  <c r="Q62" i="5"/>
  <c r="O62" i="5"/>
  <c r="P62" i="5" s="1"/>
  <c r="K62" i="5"/>
  <c r="J62" i="5"/>
  <c r="L62" i="5" s="1"/>
  <c r="D62" i="5"/>
  <c r="Q61" i="5"/>
  <c r="O61" i="5"/>
  <c r="P61" i="5" s="1"/>
  <c r="K61" i="5"/>
  <c r="J61" i="5"/>
  <c r="L61" i="5" s="1"/>
  <c r="D61" i="5"/>
  <c r="Q60" i="5"/>
  <c r="P60" i="5"/>
  <c r="O60" i="5"/>
  <c r="K60" i="5"/>
  <c r="J60" i="5"/>
  <c r="D60" i="5"/>
  <c r="O59" i="5"/>
  <c r="P59" i="5" s="1"/>
  <c r="K59" i="5"/>
  <c r="J59" i="5"/>
  <c r="L59" i="5" s="1"/>
  <c r="D59" i="5"/>
  <c r="O58" i="5"/>
  <c r="Q58" i="5" s="1"/>
  <c r="N58" i="5"/>
  <c r="K58" i="5"/>
  <c r="J58" i="5"/>
  <c r="L58" i="5" s="1"/>
  <c r="M58" i="5" s="1"/>
  <c r="D58" i="5"/>
  <c r="O57" i="5"/>
  <c r="N57" i="5"/>
  <c r="M57" i="5"/>
  <c r="L57" i="5"/>
  <c r="K57" i="5"/>
  <c r="J57" i="5"/>
  <c r="D57" i="5"/>
  <c r="O56" i="5"/>
  <c r="Q56" i="5" s="1"/>
  <c r="N56" i="5"/>
  <c r="M56" i="5"/>
  <c r="L56" i="5"/>
  <c r="K56" i="5"/>
  <c r="J56" i="5"/>
  <c r="D56" i="5"/>
  <c r="O55" i="5"/>
  <c r="Q55" i="5" s="1"/>
  <c r="K55" i="5"/>
  <c r="J55" i="5"/>
  <c r="D55" i="5"/>
  <c r="O54" i="5"/>
  <c r="Q54" i="5" s="1"/>
  <c r="N54" i="5"/>
  <c r="L54" i="5"/>
  <c r="M54" i="5" s="1"/>
  <c r="K54" i="5"/>
  <c r="J54" i="5"/>
  <c r="D54" i="5"/>
  <c r="O53" i="5"/>
  <c r="Q53" i="5" s="1"/>
  <c r="M53" i="5"/>
  <c r="L53" i="5"/>
  <c r="N53" i="5" s="1"/>
  <c r="K53" i="5"/>
  <c r="J53" i="5"/>
  <c r="D53" i="5"/>
  <c r="Q52" i="5"/>
  <c r="P52" i="5"/>
  <c r="O52" i="5"/>
  <c r="N52" i="5"/>
  <c r="M52" i="5"/>
  <c r="L52" i="5"/>
  <c r="K52" i="5"/>
  <c r="J52" i="5"/>
  <c r="D52" i="5"/>
  <c r="O51" i="5"/>
  <c r="P51" i="5" s="1"/>
  <c r="N51" i="5"/>
  <c r="M51" i="5"/>
  <c r="L51" i="5"/>
  <c r="K51" i="5"/>
  <c r="J51" i="5"/>
  <c r="D51" i="5"/>
  <c r="O50" i="5"/>
  <c r="Q50" i="5" s="1"/>
  <c r="N50" i="5"/>
  <c r="M50" i="5"/>
  <c r="L50" i="5"/>
  <c r="K50" i="5"/>
  <c r="J50" i="5"/>
  <c r="D50" i="5"/>
  <c r="O49" i="5"/>
  <c r="Q49" i="5" s="1"/>
  <c r="K49" i="5"/>
  <c r="L49" i="5" s="1"/>
  <c r="M49" i="5" s="1"/>
  <c r="J49" i="5"/>
  <c r="D49" i="5"/>
  <c r="N49" i="5" s="1"/>
  <c r="Q48" i="5"/>
  <c r="O48" i="5"/>
  <c r="P48" i="5" s="1"/>
  <c r="K48" i="5"/>
  <c r="J48" i="5"/>
  <c r="L48" i="5" s="1"/>
  <c r="M48" i="5" s="1"/>
  <c r="D48" i="5"/>
  <c r="N48" i="5" s="1"/>
  <c r="P47" i="5"/>
  <c r="O47" i="5"/>
  <c r="Q47" i="5" s="1"/>
  <c r="K47" i="5"/>
  <c r="J47" i="5"/>
  <c r="D47" i="5"/>
  <c r="O46" i="5"/>
  <c r="K46" i="5"/>
  <c r="J46" i="5"/>
  <c r="D46" i="5"/>
  <c r="Q45" i="5"/>
  <c r="O45" i="5"/>
  <c r="P45" i="5" s="1"/>
  <c r="K45" i="5"/>
  <c r="J45" i="5"/>
  <c r="L45" i="5" s="1"/>
  <c r="D45" i="5"/>
  <c r="Q44" i="5"/>
  <c r="P44" i="5"/>
  <c r="O44" i="5"/>
  <c r="K44" i="5"/>
  <c r="J44" i="5"/>
  <c r="L44" i="5" s="1"/>
  <c r="D44" i="5"/>
  <c r="O43" i="5"/>
  <c r="P43" i="5" s="1"/>
  <c r="L43" i="5"/>
  <c r="K43" i="5"/>
  <c r="J43" i="5"/>
  <c r="D43" i="5"/>
  <c r="O42" i="5"/>
  <c r="K42" i="5"/>
  <c r="J42" i="5"/>
  <c r="L42" i="5" s="1"/>
  <c r="D42" i="5"/>
  <c r="Q41" i="5"/>
  <c r="P41" i="5"/>
  <c r="O41" i="5"/>
  <c r="K41" i="5"/>
  <c r="L41" i="5" s="1"/>
  <c r="J41" i="5"/>
  <c r="D41" i="5"/>
  <c r="Q40" i="5"/>
  <c r="O40" i="5"/>
  <c r="P40" i="5" s="1"/>
  <c r="K40" i="5"/>
  <c r="J40" i="5"/>
  <c r="L40" i="5" s="1"/>
  <c r="D40" i="5"/>
  <c r="O39" i="5"/>
  <c r="K39" i="5"/>
  <c r="J39" i="5"/>
  <c r="L39" i="5" s="1"/>
  <c r="D39" i="5"/>
  <c r="O38" i="5"/>
  <c r="K38" i="5"/>
  <c r="J38" i="5"/>
  <c r="L38" i="5" s="1"/>
  <c r="D38" i="5"/>
  <c r="O37" i="5"/>
  <c r="L37" i="5"/>
  <c r="N37" i="5" s="1"/>
  <c r="K37" i="5"/>
  <c r="J37" i="5"/>
  <c r="D37" i="5"/>
  <c r="Q36" i="5"/>
  <c r="P36" i="5"/>
  <c r="O36" i="5"/>
  <c r="N36" i="5"/>
  <c r="M36" i="5"/>
  <c r="L36" i="5"/>
  <c r="K36" i="5"/>
  <c r="J36" i="5"/>
  <c r="D36" i="5"/>
  <c r="O35" i="5"/>
  <c r="L35" i="5"/>
  <c r="N35" i="5" s="1"/>
  <c r="K35" i="5"/>
  <c r="J35" i="5"/>
  <c r="D35" i="5"/>
  <c r="O34" i="5"/>
  <c r="K34" i="5"/>
  <c r="L9" i="6" s="1"/>
  <c r="J34" i="5"/>
  <c r="D34" i="5"/>
  <c r="O33" i="5"/>
  <c r="L33" i="5"/>
  <c r="N33" i="5" s="1"/>
  <c r="K33" i="5"/>
  <c r="K9" i="6" s="1"/>
  <c r="J33" i="5"/>
  <c r="D33" i="5"/>
  <c r="O32" i="5"/>
  <c r="L32" i="5"/>
  <c r="N32" i="5" s="1"/>
  <c r="K32" i="5"/>
  <c r="J32" i="5"/>
  <c r="D32" i="5"/>
  <c r="P31" i="5"/>
  <c r="O31" i="5"/>
  <c r="Q31" i="5" s="1"/>
  <c r="N31" i="5"/>
  <c r="M31" i="5"/>
  <c r="K31" i="5"/>
  <c r="J31" i="5"/>
  <c r="L31" i="5" s="1"/>
  <c r="D31" i="5"/>
  <c r="P30" i="5"/>
  <c r="O30" i="5"/>
  <c r="Q30" i="5" s="1"/>
  <c r="L30" i="5"/>
  <c r="M30" i="5" s="1"/>
  <c r="K30" i="5"/>
  <c r="J30" i="5"/>
  <c r="D30" i="5"/>
  <c r="S43" i="3"/>
  <c r="R7" i="12" s="1"/>
  <c r="R43" i="3"/>
  <c r="Q7" i="12" s="1"/>
  <c r="Q43" i="3"/>
  <c r="P7" i="12" s="1"/>
  <c r="P43" i="3"/>
  <c r="O7" i="12" s="1"/>
  <c r="O43" i="3"/>
  <c r="N7" i="12" s="1"/>
  <c r="O42" i="3"/>
  <c r="P42" i="3" s="1"/>
  <c r="Q42" i="3" s="1"/>
  <c r="R42" i="3" s="1"/>
  <c r="S42" i="3" s="1"/>
  <c r="T42" i="3" s="1"/>
  <c r="U42" i="3" s="1"/>
  <c r="V42" i="3" s="1"/>
  <c r="W42" i="3" s="1"/>
  <c r="X42" i="3" s="1"/>
  <c r="Y42" i="3" s="1"/>
  <c r="Z42" i="3" s="1"/>
  <c r="AA42" i="3" s="1"/>
  <c r="AB42" i="3" s="1"/>
  <c r="AC42" i="3" s="1"/>
  <c r="AD42" i="3" s="1"/>
  <c r="AE42" i="3" s="1"/>
  <c r="AF42" i="3" s="1"/>
  <c r="AG42" i="3" s="1"/>
  <c r="AH42" i="3" s="1"/>
  <c r="AI42" i="3" s="1"/>
  <c r="AJ42" i="3" s="1"/>
  <c r="AK42" i="3" s="1"/>
  <c r="AL42" i="3" s="1"/>
  <c r="AM42" i="3" s="1"/>
  <c r="AN42" i="3" s="1"/>
  <c r="AO42" i="3" s="1"/>
  <c r="AP42" i="3" s="1"/>
  <c r="AQ42" i="3" s="1"/>
  <c r="AR42" i="3" s="1"/>
  <c r="N42" i="3"/>
  <c r="M42" i="3"/>
  <c r="L42" i="3"/>
  <c r="D32" i="3"/>
  <c r="D29" i="3"/>
  <c r="M26" i="3"/>
  <c r="M25" i="3"/>
  <c r="D37" i="3" s="1"/>
  <c r="M24" i="3"/>
  <c r="D35" i="3" s="1"/>
  <c r="M23" i="3"/>
  <c r="D34" i="3" s="1"/>
  <c r="M22" i="3"/>
  <c r="D33" i="3" s="1"/>
  <c r="M21" i="3"/>
  <c r="M20" i="3"/>
  <c r="D20" i="3"/>
  <c r="M19" i="3"/>
  <c r="D26" i="3" s="1"/>
  <c r="D19" i="3"/>
  <c r="C11" i="12" s="1"/>
  <c r="M18" i="3"/>
  <c r="D25" i="3" s="1"/>
  <c r="M17" i="3"/>
  <c r="D22" i="3" s="1"/>
  <c r="M16" i="3"/>
  <c r="D21" i="3" s="1"/>
  <c r="C12" i="12" s="1"/>
  <c r="M15" i="3"/>
  <c r="G15" i="3"/>
  <c r="C9" i="12" s="1"/>
  <c r="M14" i="3"/>
  <c r="D16" i="3" s="1"/>
  <c r="M13" i="3"/>
  <c r="D14" i="3" s="1"/>
  <c r="D13" i="3"/>
  <c r="M12" i="3"/>
  <c r="M11" i="3"/>
  <c r="D12" i="3" s="1"/>
  <c r="M10" i="3"/>
  <c r="D11" i="3" s="1"/>
  <c r="M9" i="3"/>
  <c r="D8" i="3" s="1"/>
  <c r="M8" i="3"/>
  <c r="M7" i="3"/>
  <c r="D6" i="3" s="1"/>
  <c r="D7" i="3"/>
  <c r="D17" i="1" s="1"/>
  <c r="E28" i="1"/>
  <c r="D15" i="1"/>
  <c r="D13" i="1"/>
  <c r="D12" i="1"/>
  <c r="J15" i="6" l="1"/>
  <c r="J8" i="7"/>
  <c r="D16" i="1"/>
  <c r="N42" i="5"/>
  <c r="M42" i="5"/>
  <c r="K15" i="6"/>
  <c r="K8" i="7"/>
  <c r="AK53" i="13"/>
  <c r="AC53" i="13"/>
  <c r="U53" i="13"/>
  <c r="M53" i="13"/>
  <c r="AJ53" i="13"/>
  <c r="AB53" i="13"/>
  <c r="T53" i="13"/>
  <c r="AQ53" i="13"/>
  <c r="AI53" i="13"/>
  <c r="AA53" i="13"/>
  <c r="S53" i="13"/>
  <c r="AH53" i="13"/>
  <c r="W53" i="13"/>
  <c r="AG53" i="13"/>
  <c r="V53" i="13"/>
  <c r="AN53" i="13"/>
  <c r="X53" i="13"/>
  <c r="AM53" i="13"/>
  <c r="R53" i="13"/>
  <c r="AL53" i="13"/>
  <c r="Q53" i="13"/>
  <c r="AO53" i="13"/>
  <c r="AP53" i="13"/>
  <c r="N53" i="13"/>
  <c r="AF53" i="13"/>
  <c r="AE53" i="13"/>
  <c r="AD53" i="13"/>
  <c r="Y53" i="13"/>
  <c r="O53" i="13"/>
  <c r="P53" i="13"/>
  <c r="Z53" i="13"/>
  <c r="D19" i="1"/>
  <c r="N41" i="5"/>
  <c r="M41" i="5"/>
  <c r="N40" i="5"/>
  <c r="M40" i="5"/>
  <c r="Q37" i="5"/>
  <c r="P37" i="5"/>
  <c r="D10" i="13"/>
  <c r="D17" i="3"/>
  <c r="D24" i="8"/>
  <c r="L60" i="5"/>
  <c r="L63" i="5"/>
  <c r="N65" i="5"/>
  <c r="M65" i="5"/>
  <c r="J6" i="8"/>
  <c r="L34" i="5"/>
  <c r="M35" i="5"/>
  <c r="M14" i="6" s="1"/>
  <c r="M37" i="5"/>
  <c r="L46" i="5"/>
  <c r="L4" i="8"/>
  <c r="K5" i="8"/>
  <c r="N43" i="5"/>
  <c r="M43" i="5"/>
  <c r="M33" i="5"/>
  <c r="K7" i="7" s="1"/>
  <c r="P35" i="5"/>
  <c r="M18" i="6" s="1"/>
  <c r="Q35" i="5"/>
  <c r="M19" i="6" s="1"/>
  <c r="M7" i="7"/>
  <c r="N5" i="6"/>
  <c r="M17" i="6"/>
  <c r="M7" i="6"/>
  <c r="M12" i="6" s="1"/>
  <c r="M9" i="6"/>
  <c r="M8" i="7"/>
  <c r="M62" i="5"/>
  <c r="N62" i="5"/>
  <c r="N39" i="5"/>
  <c r="M39" i="5"/>
  <c r="Q65" i="5"/>
  <c r="P65" i="5"/>
  <c r="J61" i="11"/>
  <c r="J51" i="11"/>
  <c r="J49" i="11"/>
  <c r="G16" i="3"/>
  <c r="D28" i="3" s="1"/>
  <c r="G12" i="3"/>
  <c r="E10" i="8"/>
  <c r="D31" i="3"/>
  <c r="D9" i="3" s="1"/>
  <c r="J11" i="9" s="1"/>
  <c r="T43" i="3"/>
  <c r="D6" i="8"/>
  <c r="D8" i="8"/>
  <c r="D7" i="8"/>
  <c r="M32" i="5"/>
  <c r="M38" i="5"/>
  <c r="N38" i="5"/>
  <c r="Q43" i="5"/>
  <c r="P49" i="5"/>
  <c r="P55" i="5"/>
  <c r="Q57" i="5"/>
  <c r="P57" i="5"/>
  <c r="M15" i="6"/>
  <c r="G13" i="3"/>
  <c r="P50" i="5"/>
  <c r="Q51" i="5"/>
  <c r="P53" i="5"/>
  <c r="P54" i="5"/>
  <c r="P56" i="5"/>
  <c r="N61" i="5"/>
  <c r="M61" i="5"/>
  <c r="Q46" i="5"/>
  <c r="P46" i="5"/>
  <c r="M59" i="5"/>
  <c r="N59" i="5"/>
  <c r="AJ52" i="13"/>
  <c r="AB52" i="13"/>
  <c r="T52" i="13"/>
  <c r="AQ52" i="13"/>
  <c r="AI52" i="13"/>
  <c r="AA52" i="13"/>
  <c r="S52" i="13"/>
  <c r="AP52" i="13"/>
  <c r="AH52" i="13"/>
  <c r="Z52" i="13"/>
  <c r="R52" i="13"/>
  <c r="AN52" i="13"/>
  <c r="AC52" i="13"/>
  <c r="O52" i="13"/>
  <c r="AM52" i="13"/>
  <c r="Y52" i="13"/>
  <c r="N52" i="13"/>
  <c r="AK52" i="13"/>
  <c r="U52" i="13"/>
  <c r="AG52" i="13"/>
  <c r="Q52" i="13"/>
  <c r="AF52" i="13"/>
  <c r="P52" i="13"/>
  <c r="M52" i="13"/>
  <c r="AO52" i="13"/>
  <c r="AL52" i="13"/>
  <c r="AE52" i="13"/>
  <c r="X52" i="13"/>
  <c r="V52" i="13"/>
  <c r="AD52" i="13"/>
  <c r="W52" i="13"/>
  <c r="N45" i="5"/>
  <c r="M45" i="5"/>
  <c r="N30" i="5"/>
  <c r="J17" i="6"/>
  <c r="Q32" i="5"/>
  <c r="J19" i="6" s="1"/>
  <c r="P32" i="5"/>
  <c r="J18" i="6" s="1"/>
  <c r="Q38" i="5"/>
  <c r="P38" i="5"/>
  <c r="Q42" i="5"/>
  <c r="P42" i="5"/>
  <c r="N44" i="5"/>
  <c r="M44" i="5"/>
  <c r="D19" i="14"/>
  <c r="L47" i="5"/>
  <c r="L17" i="6"/>
  <c r="K29" i="8"/>
  <c r="J13" i="9"/>
  <c r="E7" i="8"/>
  <c r="K7" i="8" s="1"/>
  <c r="L23" i="13"/>
  <c r="L27" i="13"/>
  <c r="Q34" i="5"/>
  <c r="L19" i="6" s="1"/>
  <c r="P34" i="5"/>
  <c r="L18" i="6"/>
  <c r="K17" i="6"/>
  <c r="Q33" i="5"/>
  <c r="P33" i="5"/>
  <c r="K18" i="6" s="1"/>
  <c r="L7" i="6"/>
  <c r="L12" i="6" s="1"/>
  <c r="Q39" i="5"/>
  <c r="P39" i="5"/>
  <c r="K19" i="6"/>
  <c r="K11" i="9"/>
  <c r="L55" i="5"/>
  <c r="P58" i="5"/>
  <c r="Q59" i="5"/>
  <c r="L5" i="9"/>
  <c r="J27" i="13"/>
  <c r="J23" i="13"/>
  <c r="J26" i="13" s="1"/>
  <c r="K23" i="13"/>
  <c r="K27" i="13"/>
  <c r="AN7" i="14"/>
  <c r="AN34" i="11"/>
  <c r="N5" i="12"/>
  <c r="S7" i="14"/>
  <c r="S34" i="11"/>
  <c r="K14" i="6"/>
  <c r="X34" i="11"/>
  <c r="AQ34" i="11"/>
  <c r="O34" i="11"/>
  <c r="W34" i="11"/>
  <c r="AE34" i="11"/>
  <c r="AM34" i="11"/>
  <c r="L29" i="8" l="1"/>
  <c r="Y10" i="8"/>
  <c r="Q10" i="8"/>
  <c r="I10" i="8"/>
  <c r="X10" i="8"/>
  <c r="O10" i="8"/>
  <c r="W10" i="8"/>
  <c r="N10" i="8"/>
  <c r="V10" i="8"/>
  <c r="K10" i="8"/>
  <c r="U10" i="8"/>
  <c r="J10" i="8"/>
  <c r="T10" i="8"/>
  <c r="R10" i="8"/>
  <c r="AB10" i="8"/>
  <c r="P10" i="8"/>
  <c r="AA10" i="8"/>
  <c r="M10" i="8"/>
  <c r="Z10" i="8"/>
  <c r="L10" i="8"/>
  <c r="S10" i="8"/>
  <c r="N8" i="7"/>
  <c r="N7" i="7"/>
  <c r="O5" i="6"/>
  <c r="N18" i="6"/>
  <c r="N9" i="6"/>
  <c r="N19" i="6"/>
  <c r="N17" i="6"/>
  <c r="N7" i="6"/>
  <c r="N12" i="6" s="1"/>
  <c r="N15" i="6"/>
  <c r="N14" i="6"/>
  <c r="N34" i="5"/>
  <c r="M34" i="5"/>
  <c r="D11" i="13"/>
  <c r="D25" i="8"/>
  <c r="D14" i="1"/>
  <c r="O5" i="12"/>
  <c r="J55" i="13"/>
  <c r="K26" i="13"/>
  <c r="D19" i="8"/>
  <c r="K19" i="8" s="1"/>
  <c r="D18" i="8"/>
  <c r="D20" i="8"/>
  <c r="K22" i="10"/>
  <c r="K19" i="9"/>
  <c r="M19" i="9"/>
  <c r="M22" i="10"/>
  <c r="J7" i="7"/>
  <c r="J14" i="6"/>
  <c r="L7" i="8"/>
  <c r="M4" i="8"/>
  <c r="L5" i="8"/>
  <c r="J18" i="8"/>
  <c r="I19" i="8"/>
  <c r="K6" i="8"/>
  <c r="K18" i="8" s="1"/>
  <c r="M54" i="13"/>
  <c r="N54" i="13" s="1"/>
  <c r="O54" i="13" s="1"/>
  <c r="P54" i="13" s="1"/>
  <c r="Q54" i="13" s="1"/>
  <c r="R54" i="13" s="1"/>
  <c r="S54" i="13" s="1"/>
  <c r="T54" i="13" s="1"/>
  <c r="U54" i="13" s="1"/>
  <c r="V54" i="13" s="1"/>
  <c r="W54" i="13" s="1"/>
  <c r="X54" i="13" s="1"/>
  <c r="Y54" i="13" s="1"/>
  <c r="Z54" i="13" s="1"/>
  <c r="AA54" i="13" s="1"/>
  <c r="AB54" i="13" s="1"/>
  <c r="AC54" i="13" s="1"/>
  <c r="AD54" i="13" s="1"/>
  <c r="AE54" i="13" s="1"/>
  <c r="AF54" i="13" s="1"/>
  <c r="AG54" i="13" s="1"/>
  <c r="AH54" i="13" s="1"/>
  <c r="AI54" i="13" s="1"/>
  <c r="AJ54" i="13" s="1"/>
  <c r="AK54" i="13" s="1"/>
  <c r="AL54" i="13" s="1"/>
  <c r="AM54" i="13" s="1"/>
  <c r="AN54" i="13" s="1"/>
  <c r="AO54" i="13" s="1"/>
  <c r="AP54" i="13" s="1"/>
  <c r="AQ54" i="13" s="1"/>
  <c r="L11" i="9"/>
  <c r="M5" i="9"/>
  <c r="I20" i="8"/>
  <c r="I18" i="8"/>
  <c r="I21" i="8" s="1"/>
  <c r="M46" i="5"/>
  <c r="N46" i="5"/>
  <c r="N63" i="5"/>
  <c r="M63" i="5"/>
  <c r="E8" i="8"/>
  <c r="J7" i="8"/>
  <c r="K55" i="13"/>
  <c r="L26" i="13"/>
  <c r="K13" i="9"/>
  <c r="J21" i="9"/>
  <c r="N47" i="5"/>
  <c r="M47" i="5"/>
  <c r="S7" i="12"/>
  <c r="U43" i="3"/>
  <c r="N60" i="5"/>
  <c r="M60" i="5"/>
  <c r="K18" i="9"/>
  <c r="K21" i="10"/>
  <c r="M55" i="5"/>
  <c r="N55" i="5"/>
  <c r="AM20" i="11"/>
  <c r="AM52" i="11" s="1"/>
  <c r="AE20" i="11"/>
  <c r="AE52" i="11" s="1"/>
  <c r="W20" i="11"/>
  <c r="W52" i="11" s="1"/>
  <c r="O20" i="11"/>
  <c r="O52" i="11" s="1"/>
  <c r="AL20" i="11"/>
  <c r="AL52" i="11" s="1"/>
  <c r="AC20" i="11"/>
  <c r="AC52" i="11" s="1"/>
  <c r="T20" i="11"/>
  <c r="T52" i="11" s="1"/>
  <c r="K20" i="11"/>
  <c r="K52" i="11" s="1"/>
  <c r="AK20" i="11"/>
  <c r="AK52" i="11" s="1"/>
  <c r="AB20" i="11"/>
  <c r="AB52" i="11" s="1"/>
  <c r="S20" i="11"/>
  <c r="S52" i="11" s="1"/>
  <c r="J20" i="11"/>
  <c r="J52" i="11" s="1"/>
  <c r="AJ20" i="11"/>
  <c r="AJ52" i="11" s="1"/>
  <c r="AA20" i="11"/>
  <c r="AA52" i="11" s="1"/>
  <c r="R20" i="11"/>
  <c r="R52" i="11" s="1"/>
  <c r="AI20" i="11"/>
  <c r="AI52" i="11" s="1"/>
  <c r="Z20" i="11"/>
  <c r="Z52" i="11" s="1"/>
  <c r="Q20" i="11"/>
  <c r="Q52" i="11" s="1"/>
  <c r="AQ20" i="11"/>
  <c r="AQ52" i="11" s="1"/>
  <c r="AH20" i="11"/>
  <c r="AH52" i="11" s="1"/>
  <c r="Y20" i="11"/>
  <c r="Y52" i="11" s="1"/>
  <c r="P20" i="11"/>
  <c r="P52" i="11" s="1"/>
  <c r="X20" i="11"/>
  <c r="X52" i="11" s="1"/>
  <c r="V20" i="11"/>
  <c r="V52" i="11" s="1"/>
  <c r="AP20" i="11"/>
  <c r="AP52" i="11" s="1"/>
  <c r="U20" i="11"/>
  <c r="U52" i="11" s="1"/>
  <c r="AD20" i="11"/>
  <c r="AD52" i="11" s="1"/>
  <c r="AN20" i="11"/>
  <c r="AN52" i="11" s="1"/>
  <c r="AG20" i="11"/>
  <c r="AG52" i="11" s="1"/>
  <c r="AF20" i="11"/>
  <c r="AF52" i="11" s="1"/>
  <c r="L20" i="11"/>
  <c r="L52" i="11" s="1"/>
  <c r="AO20" i="11"/>
  <c r="AO52" i="11" s="1"/>
  <c r="N20" i="11"/>
  <c r="N52" i="11" s="1"/>
  <c r="M20" i="11"/>
  <c r="M52" i="11" s="1"/>
  <c r="M21" i="10"/>
  <c r="M18" i="9"/>
  <c r="J19" i="9"/>
  <c r="J24" i="9" s="1"/>
  <c r="J22" i="10"/>
  <c r="J19" i="8" l="1"/>
  <c r="J21" i="10"/>
  <c r="J18" i="9"/>
  <c r="J23" i="9" s="1"/>
  <c r="L8" i="7"/>
  <c r="L15" i="6"/>
  <c r="O17" i="6"/>
  <c r="O9" i="6"/>
  <c r="O18" i="6"/>
  <c r="O14" i="6"/>
  <c r="O19" i="6"/>
  <c r="O8" i="7"/>
  <c r="O15" i="6"/>
  <c r="P5" i="6"/>
  <c r="O7" i="7"/>
  <c r="O7" i="6"/>
  <c r="O12" i="6" s="1"/>
  <c r="M29" i="8"/>
  <c r="I24" i="8"/>
  <c r="I25" i="8"/>
  <c r="L7" i="7"/>
  <c r="L14" i="6"/>
  <c r="N21" i="10"/>
  <c r="N18" i="9"/>
  <c r="N22" i="10"/>
  <c r="N19" i="9"/>
  <c r="J8" i="8"/>
  <c r="J20" i="8" s="1"/>
  <c r="J21" i="8" s="1"/>
  <c r="K8" i="8"/>
  <c r="K20" i="8" s="1"/>
  <c r="K21" i="8" s="1"/>
  <c r="J9" i="10"/>
  <c r="J17" i="9"/>
  <c r="K21" i="9"/>
  <c r="K23" i="9" s="1"/>
  <c r="L13" i="9"/>
  <c r="M11" i="9"/>
  <c r="N5" i="9"/>
  <c r="L8" i="8"/>
  <c r="L20" i="8" s="1"/>
  <c r="M5" i="8"/>
  <c r="N4" i="8"/>
  <c r="M7" i="8"/>
  <c r="M19" i="8" s="1"/>
  <c r="M8" i="8"/>
  <c r="M20" i="8" s="1"/>
  <c r="P5" i="12"/>
  <c r="L6" i="8"/>
  <c r="L18" i="8" s="1"/>
  <c r="T7" i="12"/>
  <c r="V43" i="3"/>
  <c r="L19" i="8"/>
  <c r="K8" i="10" l="1"/>
  <c r="K25" i="8"/>
  <c r="K24" i="8"/>
  <c r="J24" i="8"/>
  <c r="J25" i="8"/>
  <c r="Q5" i="12"/>
  <c r="U7" i="12"/>
  <c r="W43" i="3"/>
  <c r="K24" i="9"/>
  <c r="N11" i="9"/>
  <c r="O5" i="9"/>
  <c r="P7" i="7"/>
  <c r="P14" i="6"/>
  <c r="P8" i="7"/>
  <c r="P19" i="6"/>
  <c r="P7" i="6"/>
  <c r="P12" i="6" s="1"/>
  <c r="P18" i="6"/>
  <c r="P17" i="6"/>
  <c r="P9" i="6"/>
  <c r="Q5" i="6"/>
  <c r="P15" i="6"/>
  <c r="L19" i="9"/>
  <c r="L22" i="10"/>
  <c r="O22" i="10"/>
  <c r="O19" i="9"/>
  <c r="J8" i="10"/>
  <c r="N8" i="8"/>
  <c r="N20" i="8" s="1"/>
  <c r="N6" i="8"/>
  <c r="N18" i="8" s="1"/>
  <c r="N21" i="8" s="1"/>
  <c r="O4" i="8"/>
  <c r="N7" i="8"/>
  <c r="N19" i="8" s="1"/>
  <c r="N5" i="8"/>
  <c r="M13" i="9"/>
  <c r="L21" i="9"/>
  <c r="L21" i="10"/>
  <c r="L18" i="9"/>
  <c r="L23" i="9" s="1"/>
  <c r="L21" i="8"/>
  <c r="M6" i="8"/>
  <c r="M18" i="8" s="1"/>
  <c r="M21" i="8" s="1"/>
  <c r="O21" i="10"/>
  <c r="O18" i="9"/>
  <c r="J13" i="10"/>
  <c r="J31" i="9"/>
  <c r="J29" i="9"/>
  <c r="J17" i="10" s="1"/>
  <c r="J27" i="10" s="1"/>
  <c r="M24" i="8" l="1"/>
  <c r="M25" i="8"/>
  <c r="O11" i="9"/>
  <c r="P5" i="9"/>
  <c r="L8" i="10"/>
  <c r="L25" i="8"/>
  <c r="L24" i="8"/>
  <c r="P4" i="8"/>
  <c r="O7" i="8"/>
  <c r="O19" i="8" s="1"/>
  <c r="O8" i="8"/>
  <c r="O20" i="8" s="1"/>
  <c r="O5" i="8"/>
  <c r="O6" i="8"/>
  <c r="O18" i="8" s="1"/>
  <c r="O21" i="8" s="1"/>
  <c r="N24" i="8"/>
  <c r="N25" i="8"/>
  <c r="K9" i="10"/>
  <c r="K17" i="9"/>
  <c r="V7" i="12"/>
  <c r="X43" i="3"/>
  <c r="L24" i="9"/>
  <c r="M21" i="9"/>
  <c r="N13" i="9"/>
  <c r="P22" i="10"/>
  <c r="P19" i="9"/>
  <c r="P21" i="10"/>
  <c r="P18" i="9"/>
  <c r="R5" i="12"/>
  <c r="Q15" i="6"/>
  <c r="Q7" i="6"/>
  <c r="Q12" i="6" s="1"/>
  <c r="Q8" i="7"/>
  <c r="Q19" i="6"/>
  <c r="Q14" i="6"/>
  <c r="Q7" i="7"/>
  <c r="Q18" i="6"/>
  <c r="R5" i="6"/>
  <c r="Q9" i="6"/>
  <c r="Q17" i="6"/>
  <c r="P6" i="8" l="1"/>
  <c r="P18" i="8" s="1"/>
  <c r="Q4" i="8"/>
  <c r="P5" i="8"/>
  <c r="P7" i="8"/>
  <c r="P19" i="8" s="1"/>
  <c r="P8" i="8"/>
  <c r="P20" i="8" s="1"/>
  <c r="W7" i="12"/>
  <c r="Y43" i="3"/>
  <c r="Q19" i="9"/>
  <c r="Q22" i="10"/>
  <c r="K31" i="9"/>
  <c r="K13" i="10"/>
  <c r="K29" i="9"/>
  <c r="K17" i="10" s="1"/>
  <c r="K27" i="10" s="1"/>
  <c r="Q21" i="10"/>
  <c r="Q18" i="9"/>
  <c r="S5" i="6"/>
  <c r="R7" i="6"/>
  <c r="R12" i="6" s="1"/>
  <c r="R15" i="6"/>
  <c r="R19" i="6"/>
  <c r="R14" i="6"/>
  <c r="R18" i="6"/>
  <c r="R7" i="7"/>
  <c r="R9" i="6"/>
  <c r="R8" i="7"/>
  <c r="R17" i="6"/>
  <c r="S5" i="12"/>
  <c r="M23" i="9"/>
  <c r="M24" i="9"/>
  <c r="N21" i="9"/>
  <c r="O13" i="9"/>
  <c r="L17" i="9"/>
  <c r="L9" i="10"/>
  <c r="O24" i="8"/>
  <c r="O25" i="8"/>
  <c r="P11" i="9"/>
  <c r="Q5" i="9"/>
  <c r="L13" i="10" l="1"/>
  <c r="L29" i="9"/>
  <c r="Q5" i="8"/>
  <c r="Q8" i="8"/>
  <c r="Q20" i="8" s="1"/>
  <c r="R4" i="8"/>
  <c r="Q6" i="8"/>
  <c r="Q18" i="8" s="1"/>
  <c r="Q7" i="8"/>
  <c r="Q19" i="8" s="1"/>
  <c r="O21" i="9"/>
  <c r="P13" i="9"/>
  <c r="M8" i="10"/>
  <c r="R22" i="10"/>
  <c r="R19" i="9"/>
  <c r="S19" i="6"/>
  <c r="S14" i="6"/>
  <c r="S15" i="6"/>
  <c r="S9" i="6"/>
  <c r="S7" i="7"/>
  <c r="T5" i="6"/>
  <c r="S8" i="7"/>
  <c r="S17" i="6"/>
  <c r="S7" i="6"/>
  <c r="S12" i="6" s="1"/>
  <c r="S18" i="6"/>
  <c r="X7" i="12"/>
  <c r="Z43" i="3"/>
  <c r="P21" i="8"/>
  <c r="N24" i="9"/>
  <c r="N23" i="9"/>
  <c r="Q11" i="9"/>
  <c r="R5" i="9"/>
  <c r="R18" i="9"/>
  <c r="R21" i="10"/>
  <c r="T5" i="12"/>
  <c r="M17" i="9"/>
  <c r="M9" i="10"/>
  <c r="N9" i="10" l="1"/>
  <c r="N17" i="9"/>
  <c r="Y7" i="12"/>
  <c r="AA43" i="3"/>
  <c r="S18" i="9"/>
  <c r="S21" i="10"/>
  <c r="P25" i="8"/>
  <c r="P24" i="8"/>
  <c r="T9" i="6"/>
  <c r="T17" i="6"/>
  <c r="T14" i="6"/>
  <c r="U5" i="6"/>
  <c r="T7" i="7"/>
  <c r="T15" i="6"/>
  <c r="T19" i="6"/>
  <c r="T8" i="7"/>
  <c r="T7" i="6"/>
  <c r="T12" i="6" s="1"/>
  <c r="T18" i="6"/>
  <c r="Q21" i="8"/>
  <c r="R8" i="8"/>
  <c r="R20" i="8" s="1"/>
  <c r="S4" i="8"/>
  <c r="R5" i="8"/>
  <c r="R6" i="8"/>
  <c r="R18" i="8" s="1"/>
  <c r="R7" i="8"/>
  <c r="R19" i="8" s="1"/>
  <c r="R11" i="9"/>
  <c r="S5" i="9"/>
  <c r="L17" i="10"/>
  <c r="L27" i="10" s="1"/>
  <c r="L31" i="9"/>
  <c r="S22" i="10"/>
  <c r="S19" i="9"/>
  <c r="M13" i="10"/>
  <c r="M31" i="9"/>
  <c r="M29" i="9"/>
  <c r="M17" i="10" s="1"/>
  <c r="M27" i="10" s="1"/>
  <c r="U5" i="12"/>
  <c r="N8" i="10"/>
  <c r="Q13" i="9"/>
  <c r="P21" i="9"/>
  <c r="O24" i="9"/>
  <c r="O23" i="9"/>
  <c r="V5" i="12" l="1"/>
  <c r="R21" i="8"/>
  <c r="O8" i="10"/>
  <c r="O9" i="10"/>
  <c r="O17" i="9"/>
  <c r="P24" i="9"/>
  <c r="P23" i="9"/>
  <c r="Z7" i="12"/>
  <c r="AB43" i="3"/>
  <c r="T22" i="10"/>
  <c r="T19" i="9"/>
  <c r="Q25" i="8"/>
  <c r="Q24" i="8"/>
  <c r="R13" i="9"/>
  <c r="Q21" i="9"/>
  <c r="S11" i="9"/>
  <c r="T5" i="9"/>
  <c r="U18" i="6"/>
  <c r="U17" i="6"/>
  <c r="U7" i="7"/>
  <c r="V5" i="6"/>
  <c r="U15" i="6"/>
  <c r="U8" i="7"/>
  <c r="U19" i="6"/>
  <c r="U14" i="6"/>
  <c r="U9" i="6"/>
  <c r="U7" i="6"/>
  <c r="U12" i="6" s="1"/>
  <c r="N13" i="10"/>
  <c r="N31" i="9"/>
  <c r="N29" i="9"/>
  <c r="N17" i="10" s="1"/>
  <c r="N27" i="10" s="1"/>
  <c r="S7" i="8"/>
  <c r="S19" i="8" s="1"/>
  <c r="S8" i="8"/>
  <c r="S20" i="8" s="1"/>
  <c r="S5" i="8"/>
  <c r="S6" i="8"/>
  <c r="S18" i="8" s="1"/>
  <c r="S21" i="8" s="1"/>
  <c r="T4" i="8"/>
  <c r="T18" i="9"/>
  <c r="T21" i="10"/>
  <c r="P8" i="10" l="1"/>
  <c r="U21" i="10"/>
  <c r="U18" i="9"/>
  <c r="AA7" i="12"/>
  <c r="AC43" i="3"/>
  <c r="Q23" i="9"/>
  <c r="Q24" i="9"/>
  <c r="T7" i="8"/>
  <c r="T19" i="8" s="1"/>
  <c r="T8" i="8"/>
  <c r="T20" i="8" s="1"/>
  <c r="T5" i="8"/>
  <c r="T6" i="8"/>
  <c r="T18" i="8" s="1"/>
  <c r="T21" i="8" s="1"/>
  <c r="U4" i="8"/>
  <c r="S13" i="9"/>
  <c r="R21" i="9"/>
  <c r="R24" i="8"/>
  <c r="R25" i="8"/>
  <c r="U19" i="9"/>
  <c r="U22" i="10"/>
  <c r="V8" i="7"/>
  <c r="V7" i="7"/>
  <c r="W5" i="6"/>
  <c r="V15" i="6"/>
  <c r="V17" i="6"/>
  <c r="V7" i="6"/>
  <c r="V12" i="6" s="1"/>
  <c r="V14" i="6"/>
  <c r="V18" i="6"/>
  <c r="V19" i="6"/>
  <c r="V9" i="6"/>
  <c r="W5" i="12"/>
  <c r="P17" i="9"/>
  <c r="P9" i="10"/>
  <c r="U5" i="9"/>
  <c r="T11" i="9"/>
  <c r="O13" i="10"/>
  <c r="O31" i="9"/>
  <c r="O29" i="9"/>
  <c r="O17" i="10" s="1"/>
  <c r="O27" i="10" s="1"/>
  <c r="U5" i="8" l="1"/>
  <c r="U7" i="8"/>
  <c r="U19" i="8" s="1"/>
  <c r="U6" i="8"/>
  <c r="U18" i="8" s="1"/>
  <c r="U8" i="8"/>
  <c r="U20" i="8" s="1"/>
  <c r="V4" i="8"/>
  <c r="AB7" i="12"/>
  <c r="AD43" i="3"/>
  <c r="U11" i="9"/>
  <c r="V5" i="9"/>
  <c r="V21" i="10"/>
  <c r="V18" i="9"/>
  <c r="P13" i="10"/>
  <c r="P31" i="9"/>
  <c r="P29" i="9"/>
  <c r="P17" i="10" s="1"/>
  <c r="P27" i="10" s="1"/>
  <c r="Q9" i="10"/>
  <c r="Q17" i="9"/>
  <c r="X5" i="12"/>
  <c r="V22" i="10"/>
  <c r="V19" i="9"/>
  <c r="R24" i="9"/>
  <c r="R23" i="9"/>
  <c r="Q8" i="10"/>
  <c r="W17" i="6"/>
  <c r="W9" i="6"/>
  <c r="W7" i="7"/>
  <c r="X5" i="6"/>
  <c r="W18" i="6"/>
  <c r="W8" i="7"/>
  <c r="W7" i="6"/>
  <c r="W12" i="6" s="1"/>
  <c r="W15" i="6"/>
  <c r="W14" i="6"/>
  <c r="W19" i="6"/>
  <c r="T13" i="9"/>
  <c r="S21" i="9"/>
  <c r="R9" i="10" l="1"/>
  <c r="R17" i="9"/>
  <c r="S24" i="9"/>
  <c r="S23" i="9"/>
  <c r="X7" i="7"/>
  <c r="X18" i="6"/>
  <c r="X14" i="6"/>
  <c r="X8" i="7"/>
  <c r="X7" i="6"/>
  <c r="X12" i="6" s="1"/>
  <c r="X17" i="6"/>
  <c r="X9" i="6"/>
  <c r="Y5" i="6"/>
  <c r="X19" i="6"/>
  <c r="X15" i="6"/>
  <c r="AC7" i="12"/>
  <c r="AE43" i="3"/>
  <c r="T21" i="9"/>
  <c r="U13" i="9"/>
  <c r="V8" i="8"/>
  <c r="V20" i="8" s="1"/>
  <c r="V6" i="8"/>
  <c r="V18" i="8" s="1"/>
  <c r="V5" i="8"/>
  <c r="W4" i="8"/>
  <c r="V7" i="8"/>
  <c r="V19" i="8" s="1"/>
  <c r="W18" i="9"/>
  <c r="W21" i="10"/>
  <c r="Y5" i="12"/>
  <c r="W22" i="10"/>
  <c r="W19" i="9"/>
  <c r="Q31" i="9"/>
  <c r="Q13" i="10"/>
  <c r="Q29" i="9"/>
  <c r="Q17" i="10" s="1"/>
  <c r="Q27" i="10" s="1"/>
  <c r="U21" i="8"/>
  <c r="R8" i="10"/>
  <c r="V11" i="9"/>
  <c r="W5" i="9"/>
  <c r="X5" i="9" l="1"/>
  <c r="W11" i="9"/>
  <c r="W6" i="8"/>
  <c r="W18" i="8" s="1"/>
  <c r="X4" i="8"/>
  <c r="W7" i="8"/>
  <c r="W19" i="8" s="1"/>
  <c r="W8" i="8"/>
  <c r="W20" i="8" s="1"/>
  <c r="W5" i="8"/>
  <c r="X22" i="10"/>
  <c r="X19" i="9"/>
  <c r="X21" i="10"/>
  <c r="X18" i="9"/>
  <c r="V21" i="8"/>
  <c r="Z5" i="12"/>
  <c r="Y15" i="6"/>
  <c r="Y7" i="6"/>
  <c r="Y12" i="6" s="1"/>
  <c r="Y14" i="6"/>
  <c r="Y8" i="7"/>
  <c r="Y19" i="6"/>
  <c r="Y17" i="6"/>
  <c r="Y9" i="6"/>
  <c r="Y18" i="6"/>
  <c r="Y7" i="7"/>
  <c r="Z5" i="6"/>
  <c r="S8" i="10"/>
  <c r="U21" i="9"/>
  <c r="V13" i="9"/>
  <c r="S9" i="10"/>
  <c r="S17" i="9"/>
  <c r="T23" i="9"/>
  <c r="T24" i="9"/>
  <c r="R13" i="10"/>
  <c r="R31" i="9"/>
  <c r="R29" i="9"/>
  <c r="R17" i="10" s="1"/>
  <c r="R27" i="10" s="1"/>
  <c r="AD7" i="12"/>
  <c r="AF43" i="3"/>
  <c r="AA5" i="12" l="1"/>
  <c r="V21" i="9"/>
  <c r="W13" i="9"/>
  <c r="U24" i="9"/>
  <c r="U23" i="9"/>
  <c r="X6" i="8"/>
  <c r="X18" i="8" s="1"/>
  <c r="X21" i="8" s="1"/>
  <c r="Y4" i="8"/>
  <c r="X7" i="8"/>
  <c r="X19" i="8" s="1"/>
  <c r="X8" i="8"/>
  <c r="X20" i="8" s="1"/>
  <c r="X5" i="8"/>
  <c r="Y21" i="10"/>
  <c r="Y18" i="9"/>
  <c r="W21" i="8"/>
  <c r="T17" i="9"/>
  <c r="T9" i="10"/>
  <c r="AA5" i="6"/>
  <c r="Z8" i="7"/>
  <c r="Z19" i="6"/>
  <c r="Z7" i="6"/>
  <c r="Z12" i="6" s="1"/>
  <c r="Z9" i="6"/>
  <c r="Z18" i="6"/>
  <c r="Z7" i="7"/>
  <c r="Z17" i="6"/>
  <c r="Z14" i="6"/>
  <c r="Z15" i="6"/>
  <c r="T8" i="10"/>
  <c r="Y19" i="9"/>
  <c r="Y22" i="10"/>
  <c r="AE7" i="12"/>
  <c r="AG43" i="3"/>
  <c r="S13" i="10"/>
  <c r="S31" i="9"/>
  <c r="S29" i="9"/>
  <c r="S17" i="10" s="1"/>
  <c r="S27" i="10" s="1"/>
  <c r="X11" i="9"/>
  <c r="Y5" i="9"/>
  <c r="Z21" i="10" l="1"/>
  <c r="Z18" i="9"/>
  <c r="Z5" i="9"/>
  <c r="Y11" i="9"/>
  <c r="AA19" i="6"/>
  <c r="AA14" i="6"/>
  <c r="AA7" i="6"/>
  <c r="AA12" i="6" s="1"/>
  <c r="AA15" i="6"/>
  <c r="AA18" i="6"/>
  <c r="AA17" i="6"/>
  <c r="AA8" i="7"/>
  <c r="AA9" i="6"/>
  <c r="AB5" i="6"/>
  <c r="AA7" i="7"/>
  <c r="U17" i="9"/>
  <c r="U9" i="10"/>
  <c r="T13" i="10"/>
  <c r="T31" i="9"/>
  <c r="T29" i="9"/>
  <c r="T17" i="10" s="1"/>
  <c r="T27" i="10" s="1"/>
  <c r="Y5" i="8"/>
  <c r="Y6" i="8"/>
  <c r="Y18" i="8" s="1"/>
  <c r="Y7" i="8"/>
  <c r="Y19" i="8" s="1"/>
  <c r="Z4" i="8"/>
  <c r="Y8" i="8"/>
  <c r="Y20" i="8" s="1"/>
  <c r="W21" i="9"/>
  <c r="X13" i="9"/>
  <c r="V23" i="9"/>
  <c r="V24" i="9"/>
  <c r="AF7" i="12"/>
  <c r="AH43" i="3"/>
  <c r="AB5" i="12"/>
  <c r="Z22" i="10"/>
  <c r="Z19" i="9"/>
  <c r="U8" i="10"/>
  <c r="W24" i="9" l="1"/>
  <c r="W23" i="9"/>
  <c r="Z11" i="9"/>
  <c r="AA5" i="9"/>
  <c r="AC5" i="12"/>
  <c r="AA19" i="9"/>
  <c r="AA22" i="10"/>
  <c r="V17" i="9"/>
  <c r="V9" i="10"/>
  <c r="V8" i="10"/>
  <c r="AA18" i="9"/>
  <c r="AA21" i="10"/>
  <c r="Y13" i="9"/>
  <c r="X21" i="9"/>
  <c r="AB15" i="6"/>
  <c r="AB9" i="6"/>
  <c r="AB19" i="6"/>
  <c r="AB7" i="7"/>
  <c r="AB8" i="7"/>
  <c r="AB18" i="6"/>
  <c r="AB7" i="6"/>
  <c r="AB12" i="6" s="1"/>
  <c r="AB17" i="6"/>
  <c r="AC5" i="6"/>
  <c r="AB14" i="6"/>
  <c r="Z5" i="8"/>
  <c r="Z8" i="8"/>
  <c r="Z20" i="8" s="1"/>
  <c r="AA4" i="8"/>
  <c r="Z6" i="8"/>
  <c r="Z18" i="8" s="1"/>
  <c r="Z21" i="8" s="1"/>
  <c r="Z7" i="8"/>
  <c r="Z19" i="8" s="1"/>
  <c r="U13" i="10"/>
  <c r="U31" i="9"/>
  <c r="U29" i="9"/>
  <c r="U17" i="10" s="1"/>
  <c r="U27" i="10" s="1"/>
  <c r="AG7" i="12"/>
  <c r="AI43" i="3"/>
  <c r="Y21" i="8"/>
  <c r="X23" i="9" l="1"/>
  <c r="X24" i="9"/>
  <c r="AD5" i="12"/>
  <c r="Y21" i="9"/>
  <c r="Z13" i="9"/>
  <c r="AA7" i="8"/>
  <c r="AA19" i="8" s="1"/>
  <c r="AA8" i="8"/>
  <c r="AA20" i="8" s="1"/>
  <c r="AB4" i="8"/>
  <c r="AA5" i="8"/>
  <c r="AA6" i="8"/>
  <c r="AA18" i="8" s="1"/>
  <c r="AA21" i="8" s="1"/>
  <c r="AB18" i="9"/>
  <c r="AB21" i="10"/>
  <c r="AC18" i="6"/>
  <c r="AC9" i="6"/>
  <c r="AC17" i="6"/>
  <c r="AC19" i="6"/>
  <c r="AC14" i="6"/>
  <c r="AC7" i="6"/>
  <c r="AC12" i="6" s="1"/>
  <c r="AC8" i="7"/>
  <c r="AC15" i="6"/>
  <c r="AD5" i="6"/>
  <c r="AC7" i="7"/>
  <c r="AH7" i="12"/>
  <c r="AJ43" i="3"/>
  <c r="AA11" i="9"/>
  <c r="AB5" i="9"/>
  <c r="AB22" i="10"/>
  <c r="AB19" i="9"/>
  <c r="W8" i="10"/>
  <c r="V13" i="10"/>
  <c r="V31" i="9"/>
  <c r="V29" i="9"/>
  <c r="V17" i="10" s="1"/>
  <c r="V27" i="10" s="1"/>
  <c r="W17" i="9"/>
  <c r="W9" i="10"/>
  <c r="AC21" i="10" l="1"/>
  <c r="AC18" i="9"/>
  <c r="AI7" i="12"/>
  <c r="AK43" i="3"/>
  <c r="X9" i="10"/>
  <c r="X17" i="9"/>
  <c r="AD8" i="7"/>
  <c r="AD17" i="6"/>
  <c r="AD19" i="6"/>
  <c r="AD14" i="6"/>
  <c r="AD7" i="7"/>
  <c r="AE5" i="6"/>
  <c r="AD18" i="6"/>
  <c r="AD7" i="6"/>
  <c r="AD12" i="6" s="1"/>
  <c r="AD9" i="6"/>
  <c r="AD15" i="6"/>
  <c r="AC22" i="10"/>
  <c r="AC19" i="9"/>
  <c r="Y24" i="9"/>
  <c r="Y23" i="9"/>
  <c r="W31" i="9"/>
  <c r="W13" i="10"/>
  <c r="W29" i="9"/>
  <c r="W17" i="10" s="1"/>
  <c r="W27" i="10" s="1"/>
  <c r="AC5" i="9"/>
  <c r="AB11" i="9"/>
  <c r="AE5" i="12"/>
  <c r="X8" i="10"/>
  <c r="M32" i="8"/>
  <c r="N14" i="12" s="1"/>
  <c r="N33" i="11" s="1"/>
  <c r="J32" i="8"/>
  <c r="K14" i="12" s="1"/>
  <c r="K33" i="11" s="1"/>
  <c r="AB7" i="8"/>
  <c r="AB19" i="8" s="1"/>
  <c r="AB8" i="8"/>
  <c r="AB5" i="8"/>
  <c r="AB6" i="8"/>
  <c r="AB18" i="8" s="1"/>
  <c r="AA13" i="9"/>
  <c r="Z21" i="9"/>
  <c r="AD5" i="9" l="1"/>
  <c r="AC11" i="9"/>
  <c r="AB13" i="9"/>
  <c r="AA21" i="9"/>
  <c r="AB21" i="8"/>
  <c r="X13" i="10"/>
  <c r="X31" i="9"/>
  <c r="X29" i="9"/>
  <c r="X17" i="10" s="1"/>
  <c r="X27" i="10" s="1"/>
  <c r="AF5" i="12"/>
  <c r="Y8" i="10"/>
  <c r="AE17" i="6"/>
  <c r="AE9" i="6"/>
  <c r="AE7" i="7"/>
  <c r="AF5" i="6"/>
  <c r="AE14" i="6"/>
  <c r="AE15" i="6"/>
  <c r="AE8" i="7"/>
  <c r="AE19" i="6"/>
  <c r="AE7" i="6"/>
  <c r="AE12" i="6" s="1"/>
  <c r="AE18" i="6"/>
  <c r="AD22" i="10"/>
  <c r="AD19" i="9"/>
  <c r="AB20" i="8"/>
  <c r="K30" i="8"/>
  <c r="L9" i="9" s="1"/>
  <c r="J30" i="8"/>
  <c r="K9" i="9" s="1"/>
  <c r="I30" i="8"/>
  <c r="J9" i="9" s="1"/>
  <c r="M30" i="8"/>
  <c r="N9" i="9" s="1"/>
  <c r="L30" i="8"/>
  <c r="M9" i="9" s="1"/>
  <c r="Y17" i="9"/>
  <c r="Y9" i="10"/>
  <c r="AJ7" i="12"/>
  <c r="AL43" i="3"/>
  <c r="Z23" i="9"/>
  <c r="Z24" i="9"/>
  <c r="AD21" i="10"/>
  <c r="AD18" i="9"/>
  <c r="Y31" i="9" l="1"/>
  <c r="Y13" i="10"/>
  <c r="Y29" i="9"/>
  <c r="Y17" i="10" s="1"/>
  <c r="Y27" i="10" s="1"/>
  <c r="M41" i="9"/>
  <c r="M16" i="9"/>
  <c r="I31" i="8"/>
  <c r="D21" i="8"/>
  <c r="K31" i="8"/>
  <c r="J31" i="8"/>
  <c r="L31" i="8"/>
  <c r="M31" i="8"/>
  <c r="K33" i="8"/>
  <c r="L25" i="12" s="1"/>
  <c r="L33" i="8"/>
  <c r="M25" i="12" s="1"/>
  <c r="L32" i="8"/>
  <c r="M14" i="12" s="1"/>
  <c r="M33" i="11" s="1"/>
  <c r="K32" i="8"/>
  <c r="L14" i="12" s="1"/>
  <c r="L33" i="11" s="1"/>
  <c r="I33" i="8"/>
  <c r="J25" i="12" s="1"/>
  <c r="J33" i="8"/>
  <c r="K25" i="12" s="1"/>
  <c r="I32" i="8"/>
  <c r="J14" i="12" s="1"/>
  <c r="M33" i="8"/>
  <c r="N25" i="12" s="1"/>
  <c r="Z8" i="10"/>
  <c r="L41" i="9"/>
  <c r="L16" i="9"/>
  <c r="AF7" i="7"/>
  <c r="AG5" i="6"/>
  <c r="AF18" i="6"/>
  <c r="AF8" i="7"/>
  <c r="AF15" i="6"/>
  <c r="AF19" i="6"/>
  <c r="AF14" i="6"/>
  <c r="AF17" i="6"/>
  <c r="AF9" i="6"/>
  <c r="AF7" i="6"/>
  <c r="AF12" i="6" s="1"/>
  <c r="N41" i="9"/>
  <c r="O9" i="9"/>
  <c r="N16" i="9"/>
  <c r="Z9" i="10"/>
  <c r="Z17" i="9"/>
  <c r="J41" i="9"/>
  <c r="J16" i="9"/>
  <c r="AA24" i="9"/>
  <c r="AA23" i="9"/>
  <c r="K41" i="9"/>
  <c r="K16" i="9"/>
  <c r="AC13" i="9"/>
  <c r="AB21" i="9"/>
  <c r="AK7" i="12"/>
  <c r="AM43" i="3"/>
  <c r="AE22" i="10"/>
  <c r="AE19" i="9"/>
  <c r="AG5" i="12"/>
  <c r="AE21" i="10"/>
  <c r="AE18" i="9"/>
  <c r="AD11" i="9"/>
  <c r="AE5" i="9"/>
  <c r="AH5" i="12" l="1"/>
  <c r="AF22" i="10"/>
  <c r="AF19" i="9"/>
  <c r="O41" i="9"/>
  <c r="P9" i="9"/>
  <c r="O16" i="9"/>
  <c r="AA9" i="10"/>
  <c r="AA17" i="9"/>
  <c r="AG15" i="6"/>
  <c r="AG7" i="6"/>
  <c r="AG12" i="6" s="1"/>
  <c r="AG7" i="7"/>
  <c r="AG18" i="6"/>
  <c r="AG14" i="6"/>
  <c r="AH5" i="6"/>
  <c r="AG8" i="7"/>
  <c r="AG19" i="6"/>
  <c r="AG17" i="6"/>
  <c r="AG9" i="6"/>
  <c r="AB23" i="9"/>
  <c r="AB24" i="9"/>
  <c r="Z31" i="9"/>
  <c r="Z13" i="10"/>
  <c r="Z29" i="9"/>
  <c r="Z17" i="10" s="1"/>
  <c r="Z27" i="10" s="1"/>
  <c r="AF21" i="10"/>
  <c r="AF18" i="9"/>
  <c r="J37" i="11"/>
  <c r="L7" i="14"/>
  <c r="L34" i="11"/>
  <c r="AD13" i="9"/>
  <c r="AC21" i="9"/>
  <c r="N7" i="14"/>
  <c r="N34" i="11"/>
  <c r="M7" i="14"/>
  <c r="M34" i="11"/>
  <c r="M26" i="9"/>
  <c r="M12" i="10"/>
  <c r="M28" i="9"/>
  <c r="K12" i="10"/>
  <c r="K26" i="9"/>
  <c r="K28" i="9"/>
  <c r="N26" i="9"/>
  <c r="N12" i="10"/>
  <c r="N28" i="9"/>
  <c r="N37" i="11"/>
  <c r="M35" i="8"/>
  <c r="AA8" i="10"/>
  <c r="G14" i="12"/>
  <c r="J17" i="12"/>
  <c r="I34" i="8" s="1"/>
  <c r="I35" i="8" s="1"/>
  <c r="J33" i="11"/>
  <c r="M37" i="11"/>
  <c r="L35" i="8"/>
  <c r="K7" i="14"/>
  <c r="K34" i="11"/>
  <c r="K61" i="11" s="1"/>
  <c r="K37" i="11"/>
  <c r="AE11" i="9"/>
  <c r="AF5" i="9"/>
  <c r="J12" i="10"/>
  <c r="J26" i="9"/>
  <c r="J28" i="9"/>
  <c r="J7" i="14"/>
  <c r="J34" i="11"/>
  <c r="L37" i="11"/>
  <c r="AL7" i="12"/>
  <c r="AN43" i="3"/>
  <c r="L12" i="10"/>
  <c r="L26" i="9"/>
  <c r="L28" i="9"/>
  <c r="J21" i="12" l="1"/>
  <c r="K17" i="12" s="1"/>
  <c r="AB9" i="10"/>
  <c r="AB17" i="9"/>
  <c r="AG21" i="10"/>
  <c r="AG18" i="9"/>
  <c r="P41" i="9"/>
  <c r="Q9" i="9"/>
  <c r="P16" i="9"/>
  <c r="AG5" i="9"/>
  <c r="AF11" i="9"/>
  <c r="AC23" i="9"/>
  <c r="AC24" i="9"/>
  <c r="AB8" i="10"/>
  <c r="M16" i="10"/>
  <c r="M26" i="10" s="1"/>
  <c r="M28" i="10" s="1"/>
  <c r="M33" i="9"/>
  <c r="M30" i="9"/>
  <c r="AG19" i="9"/>
  <c r="AG22" i="10"/>
  <c r="L61" i="11"/>
  <c r="AM7" i="12"/>
  <c r="AO43" i="3"/>
  <c r="J57" i="11"/>
  <c r="AE13" i="9"/>
  <c r="AD21" i="9"/>
  <c r="L16" i="10"/>
  <c r="L26" i="10" s="1"/>
  <c r="L28" i="10" s="1"/>
  <c r="L30" i="9"/>
  <c r="L33" i="9"/>
  <c r="J16" i="10"/>
  <c r="J26" i="10" s="1"/>
  <c r="J28" i="10" s="1"/>
  <c r="J33" i="9"/>
  <c r="J30" i="9"/>
  <c r="N30" i="9"/>
  <c r="N33" i="9"/>
  <c r="N16" i="10"/>
  <c r="N26" i="10" s="1"/>
  <c r="N28" i="10" s="1"/>
  <c r="AA31" i="9"/>
  <c r="AA13" i="10"/>
  <c r="AA29" i="9"/>
  <c r="AA17" i="10" s="1"/>
  <c r="AA27" i="10" s="1"/>
  <c r="K30" i="9"/>
  <c r="K16" i="10"/>
  <c r="K26" i="10" s="1"/>
  <c r="K28" i="10" s="1"/>
  <c r="K33" i="9"/>
  <c r="AI5" i="6"/>
  <c r="AH14" i="6"/>
  <c r="AH8" i="7"/>
  <c r="AH19" i="6"/>
  <c r="AH15" i="6"/>
  <c r="AH7" i="7"/>
  <c r="AH17" i="6"/>
  <c r="AH7" i="6"/>
  <c r="AH12" i="6" s="1"/>
  <c r="AH18" i="6"/>
  <c r="AH9" i="6"/>
  <c r="O12" i="10"/>
  <c r="O26" i="9"/>
  <c r="O28" i="9"/>
  <c r="AI5" i="12"/>
  <c r="AD23" i="9" l="1"/>
  <c r="AD24" i="9"/>
  <c r="AH22" i="10"/>
  <c r="AH19" i="9"/>
  <c r="AE21" i="9"/>
  <c r="AF13" i="9"/>
  <c r="Q41" i="9"/>
  <c r="R9" i="9"/>
  <c r="Q16" i="9"/>
  <c r="AJ5" i="12"/>
  <c r="P12" i="10"/>
  <c r="P26" i="9"/>
  <c r="P28" i="9"/>
  <c r="O33" i="9"/>
  <c r="O30" i="9"/>
  <c r="O16" i="10"/>
  <c r="O26" i="10" s="1"/>
  <c r="O28" i="10" s="1"/>
  <c r="K21" i="12"/>
  <c r="J34" i="8"/>
  <c r="J35" i="8" s="1"/>
  <c r="K51" i="11" s="1"/>
  <c r="J35" i="9"/>
  <c r="J42" i="9"/>
  <c r="AH21" i="10"/>
  <c r="AH18" i="9"/>
  <c r="J10" i="11"/>
  <c r="J38" i="9"/>
  <c r="AC8" i="10"/>
  <c r="AB31" i="9"/>
  <c r="AB13" i="10"/>
  <c r="AB29" i="9"/>
  <c r="AB17" i="10" s="1"/>
  <c r="AB27" i="10" s="1"/>
  <c r="M42" i="9"/>
  <c r="M35" i="9"/>
  <c r="N38" i="9"/>
  <c r="N10" i="11"/>
  <c r="AN7" i="12"/>
  <c r="AP43" i="3"/>
  <c r="AC17" i="9"/>
  <c r="AC9" i="10"/>
  <c r="AI19" i="6"/>
  <c r="AI14" i="6"/>
  <c r="AI8" i="7"/>
  <c r="AI7" i="6"/>
  <c r="AI12" i="6" s="1"/>
  <c r="AI7" i="7"/>
  <c r="AJ5" i="6"/>
  <c r="AI17" i="6"/>
  <c r="AI9" i="6"/>
  <c r="AI15" i="6"/>
  <c r="AI18" i="6"/>
  <c r="N35" i="9"/>
  <c r="N42" i="9"/>
  <c r="L42" i="9"/>
  <c r="L35" i="9"/>
  <c r="K42" i="9"/>
  <c r="K35" i="9"/>
  <c r="K10" i="11"/>
  <c r="K38" i="9"/>
  <c r="L38" i="9"/>
  <c r="L10" i="11"/>
  <c r="M61" i="11"/>
  <c r="M10" i="11"/>
  <c r="M38" i="9"/>
  <c r="AH5" i="9"/>
  <c r="AG11" i="9"/>
  <c r="M36" i="9" l="1"/>
  <c r="M45" i="9" s="1"/>
  <c r="M15" i="11" s="1"/>
  <c r="M44" i="9"/>
  <c r="M14" i="11" s="1"/>
  <c r="J32" i="11"/>
  <c r="R41" i="9"/>
  <c r="S9" i="9"/>
  <c r="R16" i="9"/>
  <c r="L32" i="11"/>
  <c r="P16" i="10"/>
  <c r="P26" i="10" s="1"/>
  <c r="P28" i="10" s="1"/>
  <c r="P33" i="9"/>
  <c r="P30" i="9"/>
  <c r="AG13" i="9"/>
  <c r="AF21" i="9"/>
  <c r="J13" i="11"/>
  <c r="AE23" i="9"/>
  <c r="AE24" i="9"/>
  <c r="L13" i="11"/>
  <c r="N13" i="11"/>
  <c r="N32" i="11"/>
  <c r="M47" i="9"/>
  <c r="M13" i="11"/>
  <c r="O35" i="9"/>
  <c r="O42" i="9"/>
  <c r="N44" i="9"/>
  <c r="N14" i="11" s="1"/>
  <c r="N36" i="9"/>
  <c r="N45" i="9" s="1"/>
  <c r="N15" i="11" s="1"/>
  <c r="AI18" i="9"/>
  <c r="AI21" i="10"/>
  <c r="AH11" i="9"/>
  <c r="AI5" i="9"/>
  <c r="AI22" i="10"/>
  <c r="AI19" i="9"/>
  <c r="J44" i="9"/>
  <c r="J14" i="11" s="1"/>
  <c r="J36" i="9"/>
  <c r="J45" i="9" s="1"/>
  <c r="J15" i="11" s="1"/>
  <c r="K32" i="11"/>
  <c r="K44" i="9"/>
  <c r="K14" i="11" s="1"/>
  <c r="K36" i="9"/>
  <c r="K45" i="9" s="1"/>
  <c r="K15" i="11" s="1"/>
  <c r="M32" i="11"/>
  <c r="K13" i="11"/>
  <c r="AC13" i="10"/>
  <c r="AC31" i="9"/>
  <c r="AC29" i="9"/>
  <c r="AC17" i="10" s="1"/>
  <c r="AC27" i="10" s="1"/>
  <c r="L17" i="12"/>
  <c r="K57" i="11"/>
  <c r="AK5" i="12"/>
  <c r="AD9" i="10"/>
  <c r="AD17" i="9"/>
  <c r="N61" i="11"/>
  <c r="L36" i="9"/>
  <c r="L45" i="9" s="1"/>
  <c r="L15" i="11" s="1"/>
  <c r="L44" i="9"/>
  <c r="L14" i="11" s="1"/>
  <c r="AJ19" i="6"/>
  <c r="AJ7" i="6"/>
  <c r="AJ12" i="6" s="1"/>
  <c r="AJ15" i="6"/>
  <c r="AJ17" i="6"/>
  <c r="AJ8" i="7"/>
  <c r="AJ9" i="6"/>
  <c r="AJ18" i="6"/>
  <c r="AJ7" i="7"/>
  <c r="AK5" i="6"/>
  <c r="AJ14" i="6"/>
  <c r="AO7" i="12"/>
  <c r="AQ43" i="3"/>
  <c r="O38" i="9"/>
  <c r="O10" i="11"/>
  <c r="Q26" i="9"/>
  <c r="Q12" i="10"/>
  <c r="Q28" i="9"/>
  <c r="AD8" i="10"/>
  <c r="M16" i="11" l="1"/>
  <c r="M38" i="11" s="1"/>
  <c r="N16" i="11"/>
  <c r="N38" i="11" s="1"/>
  <c r="O13" i="11"/>
  <c r="AF23" i="9"/>
  <c r="AF24" i="9"/>
  <c r="L47" i="9"/>
  <c r="L21" i="12"/>
  <c r="K34" i="8"/>
  <c r="K35" i="8" s="1"/>
  <c r="L51" i="11" s="1"/>
  <c r="M51" i="11" s="1"/>
  <c r="N51" i="11" s="1"/>
  <c r="O51" i="11" s="1"/>
  <c r="P51" i="11" s="1"/>
  <c r="Q51" i="11" s="1"/>
  <c r="R51" i="11" s="1"/>
  <c r="S51" i="11" s="1"/>
  <c r="T51" i="11" s="1"/>
  <c r="U51" i="11" s="1"/>
  <c r="V51" i="11" s="1"/>
  <c r="W51" i="11" s="1"/>
  <c r="X51" i="11" s="1"/>
  <c r="Y51" i="11" s="1"/>
  <c r="Z51" i="11" s="1"/>
  <c r="AA51" i="11" s="1"/>
  <c r="AB51" i="11" s="1"/>
  <c r="AC51" i="11" s="1"/>
  <c r="AD51" i="11" s="1"/>
  <c r="AE51" i="11" s="1"/>
  <c r="AF51" i="11" s="1"/>
  <c r="AG51" i="11" s="1"/>
  <c r="AH51" i="11" s="1"/>
  <c r="AI51" i="11" s="1"/>
  <c r="AJ51" i="11" s="1"/>
  <c r="AK51" i="11" s="1"/>
  <c r="AL51" i="11" s="1"/>
  <c r="AM51" i="11" s="1"/>
  <c r="AN51" i="11" s="1"/>
  <c r="AO51" i="11" s="1"/>
  <c r="AP51" i="11" s="1"/>
  <c r="AQ51" i="11" s="1"/>
  <c r="AG21" i="9"/>
  <c r="AH13" i="9"/>
  <c r="O44" i="9"/>
  <c r="O14" i="11" s="1"/>
  <c r="O36" i="9"/>
  <c r="O45" i="9" s="1"/>
  <c r="O15" i="11" s="1"/>
  <c r="R12" i="10"/>
  <c r="R26" i="9"/>
  <c r="R28" i="9"/>
  <c r="O32" i="11"/>
  <c r="AI11" i="9"/>
  <c r="AJ5" i="9"/>
  <c r="L16" i="11"/>
  <c r="S41" i="9"/>
  <c r="T9" i="9"/>
  <c r="S16" i="9"/>
  <c r="O61" i="11"/>
  <c r="P42" i="9"/>
  <c r="P35" i="9"/>
  <c r="AP7" i="12"/>
  <c r="AR43" i="3"/>
  <c r="AD13" i="10"/>
  <c r="AD31" i="9"/>
  <c r="AD29" i="9"/>
  <c r="AD17" i="10" s="1"/>
  <c r="AD27" i="10" s="1"/>
  <c r="AE9" i="10"/>
  <c r="AE17" i="9"/>
  <c r="P38" i="9"/>
  <c r="P10" i="11"/>
  <c r="AJ22" i="10"/>
  <c r="AJ19" i="9"/>
  <c r="K47" i="9"/>
  <c r="AE8" i="10"/>
  <c r="AJ18" i="9"/>
  <c r="AJ21" i="10"/>
  <c r="K16" i="11"/>
  <c r="J16" i="11"/>
  <c r="Q16" i="10"/>
  <c r="Q26" i="10" s="1"/>
  <c r="Q28" i="10" s="1"/>
  <c r="Q33" i="9"/>
  <c r="Q30" i="9"/>
  <c r="AK18" i="6"/>
  <c r="AK15" i="6"/>
  <c r="AK9" i="6"/>
  <c r="AK8" i="7"/>
  <c r="AK7" i="6"/>
  <c r="AK12" i="6" s="1"/>
  <c r="AK19" i="6"/>
  <c r="AK7" i="7"/>
  <c r="AK17" i="6"/>
  <c r="AL5" i="6"/>
  <c r="AK14" i="6"/>
  <c r="AL5" i="12"/>
  <c r="M18" i="11"/>
  <c r="N47" i="9"/>
  <c r="J47" i="9"/>
  <c r="N18" i="11" l="1"/>
  <c r="T41" i="9"/>
  <c r="U9" i="9"/>
  <c r="T16" i="9"/>
  <c r="L57" i="11"/>
  <c r="M17" i="12"/>
  <c r="C10" i="12"/>
  <c r="Q38" i="9"/>
  <c r="Q10" i="11"/>
  <c r="P32" i="11"/>
  <c r="M15" i="13"/>
  <c r="M72" i="11"/>
  <c r="M22" i="14" s="1"/>
  <c r="M16" i="13"/>
  <c r="M19" i="11"/>
  <c r="AF9" i="10"/>
  <c r="AF17" i="9"/>
  <c r="P36" i="9"/>
  <c r="P45" i="9" s="1"/>
  <c r="P15" i="11" s="1"/>
  <c r="P44" i="9"/>
  <c r="P14" i="11" s="1"/>
  <c r="AJ11" i="9"/>
  <c r="AK5" i="9"/>
  <c r="AF8" i="10"/>
  <c r="J38" i="11"/>
  <c r="J18" i="11"/>
  <c r="AE31" i="9"/>
  <c r="AE13" i="10"/>
  <c r="AE29" i="9"/>
  <c r="AE17" i="10" s="1"/>
  <c r="AE27" i="10" s="1"/>
  <c r="L38" i="11"/>
  <c r="L18" i="11"/>
  <c r="N72" i="11"/>
  <c r="N22" i="14" s="1"/>
  <c r="N16" i="13"/>
  <c r="N15" i="13"/>
  <c r="N19" i="11"/>
  <c r="O16" i="11"/>
  <c r="P61" i="11"/>
  <c r="AH21" i="9"/>
  <c r="AI13" i="9"/>
  <c r="O47" i="9"/>
  <c r="AM5" i="12"/>
  <c r="AK18" i="9"/>
  <c r="AK21" i="10"/>
  <c r="AK19" i="9"/>
  <c r="AK22" i="10"/>
  <c r="K38" i="11"/>
  <c r="K18" i="11"/>
  <c r="P13" i="11"/>
  <c r="AL8" i="7"/>
  <c r="AL9" i="6"/>
  <c r="AL17" i="6"/>
  <c r="AL7" i="6"/>
  <c r="AL12" i="6" s="1"/>
  <c r="AL18" i="6"/>
  <c r="AL15" i="6"/>
  <c r="AL19" i="6"/>
  <c r="AM5" i="6"/>
  <c r="AL14" i="6"/>
  <c r="AL7" i="7"/>
  <c r="AG24" i="9"/>
  <c r="AG23" i="9"/>
  <c r="Q42" i="9"/>
  <c r="Q35" i="9"/>
  <c r="AQ7" i="12"/>
  <c r="D20" i="14"/>
  <c r="D23" i="1" s="1"/>
  <c r="S12" i="10"/>
  <c r="S26" i="9"/>
  <c r="S28" i="9"/>
  <c r="R30" i="9"/>
  <c r="R33" i="9"/>
  <c r="R16" i="10"/>
  <c r="R26" i="10" s="1"/>
  <c r="R28" i="10" s="1"/>
  <c r="P47" i="9" l="1"/>
  <c r="R10" i="11"/>
  <c r="R38" i="9"/>
  <c r="Q36" i="9"/>
  <c r="Q45" i="9" s="1"/>
  <c r="Q15" i="11" s="1"/>
  <c r="Q44" i="9"/>
  <c r="Q14" i="11" s="1"/>
  <c r="AM17" i="6"/>
  <c r="AM9" i="6"/>
  <c r="AM18" i="6"/>
  <c r="AM19" i="6"/>
  <c r="AM7" i="7"/>
  <c r="AM8" i="7"/>
  <c r="AM7" i="6"/>
  <c r="AM12" i="6" s="1"/>
  <c r="AN5" i="6"/>
  <c r="AM15" i="6"/>
  <c r="AM14" i="6"/>
  <c r="P16" i="11"/>
  <c r="AN5" i="12"/>
  <c r="O38" i="11"/>
  <c r="O18" i="11"/>
  <c r="Q32" i="11"/>
  <c r="R35" i="9"/>
  <c r="R42" i="9"/>
  <c r="Q13" i="11"/>
  <c r="AG8" i="10"/>
  <c r="S30" i="9"/>
  <c r="S16" i="10"/>
  <c r="S26" i="10" s="1"/>
  <c r="S28" i="10" s="1"/>
  <c r="S33" i="9"/>
  <c r="AI21" i="9"/>
  <c r="AJ13" i="9"/>
  <c r="J16" i="13"/>
  <c r="J72" i="11"/>
  <c r="J22" i="14" s="1"/>
  <c r="J23" i="14" s="1"/>
  <c r="J15" i="13"/>
  <c r="J22" i="11"/>
  <c r="J19" i="11"/>
  <c r="AL22" i="10"/>
  <c r="AL19" i="9"/>
  <c r="K16" i="13"/>
  <c r="K72" i="11"/>
  <c r="K22" i="14" s="1"/>
  <c r="K23" i="14" s="1"/>
  <c r="K22" i="11"/>
  <c r="K15" i="13"/>
  <c r="K19" i="11"/>
  <c r="AG9" i="10"/>
  <c r="AG17" i="9"/>
  <c r="AF31" i="9"/>
  <c r="AF13" i="10"/>
  <c r="AF29" i="9"/>
  <c r="AF17" i="10" s="1"/>
  <c r="AF27" i="10" s="1"/>
  <c r="M20" i="12"/>
  <c r="M21" i="11" s="1"/>
  <c r="AH24" i="9"/>
  <c r="AH23" i="9"/>
  <c r="M23" i="14"/>
  <c r="N23" i="14"/>
  <c r="T12" i="10"/>
  <c r="T26" i="9"/>
  <c r="T28" i="9"/>
  <c r="L15" i="13"/>
  <c r="L28" i="13" s="1"/>
  <c r="L72" i="11"/>
  <c r="L22" i="14" s="1"/>
  <c r="L23" i="14" s="1"/>
  <c r="L22" i="11"/>
  <c r="L16" i="13"/>
  <c r="L19" i="11"/>
  <c r="U41" i="9"/>
  <c r="V9" i="9"/>
  <c r="U16" i="9"/>
  <c r="AL21" i="10"/>
  <c r="AL18" i="9"/>
  <c r="Q61" i="11"/>
  <c r="AL5" i="9"/>
  <c r="AK11" i="9"/>
  <c r="AJ21" i="9" l="1"/>
  <c r="AK13" i="9"/>
  <c r="Q16" i="11"/>
  <c r="R61" i="11"/>
  <c r="J69" i="11"/>
  <c r="J70" i="11" s="1"/>
  <c r="K67" i="11" s="1"/>
  <c r="K68" i="11" s="1"/>
  <c r="K23" i="11" s="1"/>
  <c r="J68" i="11"/>
  <c r="J23" i="11" s="1"/>
  <c r="J41" i="11" s="1"/>
  <c r="J44" i="11" s="1"/>
  <c r="U12" i="10"/>
  <c r="U26" i="9"/>
  <c r="U28" i="9"/>
  <c r="AH8" i="10"/>
  <c r="AI24" i="9"/>
  <c r="AI23" i="9"/>
  <c r="R13" i="11"/>
  <c r="P38" i="11"/>
  <c r="P18" i="11"/>
  <c r="AM5" i="9"/>
  <c r="AL11" i="9"/>
  <c r="V41" i="9"/>
  <c r="W9" i="9"/>
  <c r="V16" i="9"/>
  <c r="T16" i="10"/>
  <c r="T26" i="10" s="1"/>
  <c r="T28" i="10" s="1"/>
  <c r="T30" i="9"/>
  <c r="T33" i="9"/>
  <c r="AH9" i="10"/>
  <c r="AH17" i="9"/>
  <c r="AG31" i="9"/>
  <c r="AG13" i="10"/>
  <c r="AG29" i="9"/>
  <c r="AG17" i="10" s="1"/>
  <c r="AG27" i="10" s="1"/>
  <c r="S35" i="9"/>
  <c r="S42" i="9"/>
  <c r="R36" i="9"/>
  <c r="R45" i="9" s="1"/>
  <c r="R15" i="11" s="1"/>
  <c r="R44" i="9"/>
  <c r="R14" i="11" s="1"/>
  <c r="AM21" i="10"/>
  <c r="AM18" i="9"/>
  <c r="S10" i="11"/>
  <c r="S38" i="9"/>
  <c r="AM19" i="9"/>
  <c r="AM22" i="10"/>
  <c r="AN7" i="7"/>
  <c r="AN17" i="6"/>
  <c r="AO5" i="6"/>
  <c r="AN9" i="6"/>
  <c r="AN19" i="6"/>
  <c r="AN14" i="6"/>
  <c r="AN8" i="7"/>
  <c r="AN18" i="6"/>
  <c r="AN15" i="6"/>
  <c r="AN7" i="6"/>
  <c r="AN12" i="6" s="1"/>
  <c r="M39" i="11"/>
  <c r="M22" i="11"/>
  <c r="K28" i="13"/>
  <c r="J28" i="13"/>
  <c r="O72" i="11"/>
  <c r="O22" i="14" s="1"/>
  <c r="O23" i="14" s="1"/>
  <c r="O16" i="13"/>
  <c r="O15" i="13"/>
  <c r="O19" i="11"/>
  <c r="Q47" i="9"/>
  <c r="AO5" i="12"/>
  <c r="R32" i="11"/>
  <c r="J25" i="11" l="1"/>
  <c r="J51" i="13"/>
  <c r="K69" i="11"/>
  <c r="K70" i="11" s="1"/>
  <c r="L67" i="11" s="1"/>
  <c r="K41" i="11"/>
  <c r="K25" i="11"/>
  <c r="K27" i="11" s="1"/>
  <c r="S13" i="11"/>
  <c r="AN5" i="9"/>
  <c r="AM11" i="9"/>
  <c r="S61" i="11"/>
  <c r="T10" i="11"/>
  <c r="T38" i="9"/>
  <c r="AO15" i="6"/>
  <c r="AO7" i="6"/>
  <c r="AO12" i="6" s="1"/>
  <c r="AP5" i="6"/>
  <c r="AO7" i="7"/>
  <c r="AO18" i="6"/>
  <c r="AO19" i="6"/>
  <c r="AO14" i="6"/>
  <c r="AO17" i="6"/>
  <c r="AO9" i="6"/>
  <c r="AO8" i="7"/>
  <c r="M21" i="13"/>
  <c r="R47" i="9"/>
  <c r="AH13" i="10"/>
  <c r="AH31" i="9"/>
  <c r="AH29" i="9"/>
  <c r="AH17" i="10" s="1"/>
  <c r="AH27" i="10" s="1"/>
  <c r="W41" i="9"/>
  <c r="X9" i="9"/>
  <c r="W16" i="9"/>
  <c r="AI8" i="10"/>
  <c r="J62" i="11"/>
  <c r="J27" i="11"/>
  <c r="AN22" i="10"/>
  <c r="AN19" i="9"/>
  <c r="AI17" i="9"/>
  <c r="AI9" i="10"/>
  <c r="J9" i="14"/>
  <c r="J11" i="14" s="1"/>
  <c r="J18" i="13"/>
  <c r="J50" i="11"/>
  <c r="P16" i="13"/>
  <c r="P72" i="11"/>
  <c r="P22" i="14" s="1"/>
  <c r="P23" i="14" s="1"/>
  <c r="P19" i="11"/>
  <c r="P15" i="13"/>
  <c r="AP5" i="12"/>
  <c r="U30" i="9"/>
  <c r="U33" i="9"/>
  <c r="U16" i="10"/>
  <c r="U26" i="10" s="1"/>
  <c r="U28" i="10" s="1"/>
  <c r="Q38" i="11"/>
  <c r="Q18" i="11"/>
  <c r="AN21" i="10"/>
  <c r="AN18" i="9"/>
  <c r="S44" i="9"/>
  <c r="S14" i="11" s="1"/>
  <c r="S36" i="9"/>
  <c r="S45" i="9" s="1"/>
  <c r="S15" i="11" s="1"/>
  <c r="T42" i="9"/>
  <c r="T35" i="9"/>
  <c r="R16" i="11"/>
  <c r="AL13" i="9"/>
  <c r="AK21" i="9"/>
  <c r="S32" i="11"/>
  <c r="V26" i="9"/>
  <c r="V12" i="10"/>
  <c r="V28" i="9"/>
  <c r="AJ24" i="9"/>
  <c r="AJ23" i="9"/>
  <c r="S47" i="9" l="1"/>
  <c r="AM13" i="9"/>
  <c r="AL21" i="9"/>
  <c r="W12" i="10"/>
  <c r="W26" i="9"/>
  <c r="W28" i="9"/>
  <c r="T61" i="11"/>
  <c r="K44" i="11"/>
  <c r="K50" i="11" s="1"/>
  <c r="K51" i="13"/>
  <c r="AJ9" i="10"/>
  <c r="AJ17" i="9"/>
  <c r="R38" i="11"/>
  <c r="R18" i="11"/>
  <c r="L69" i="11"/>
  <c r="L70" i="11" s="1"/>
  <c r="M67" i="11" s="1"/>
  <c r="L68" i="11"/>
  <c r="L23" i="11" s="1"/>
  <c r="V33" i="9"/>
  <c r="V16" i="10"/>
  <c r="V26" i="10" s="1"/>
  <c r="V28" i="10" s="1"/>
  <c r="V30" i="9"/>
  <c r="J27" i="14"/>
  <c r="J13" i="14"/>
  <c r="K62" i="11"/>
  <c r="J63" i="11"/>
  <c r="M27" i="13"/>
  <c r="AQ5" i="6"/>
  <c r="AP7" i="7"/>
  <c r="AP18" i="6"/>
  <c r="AP14" i="6"/>
  <c r="AP8" i="7"/>
  <c r="AP19" i="6"/>
  <c r="AP15" i="6"/>
  <c r="AP9" i="6"/>
  <c r="AP17" i="6"/>
  <c r="AP7" i="6"/>
  <c r="AP12" i="6" s="1"/>
  <c r="AQ5" i="12"/>
  <c r="Q16" i="13"/>
  <c r="Q19" i="11"/>
  <c r="Q15" i="13"/>
  <c r="Q72" i="11"/>
  <c r="Q22" i="14" s="1"/>
  <c r="Q23" i="14" s="1"/>
  <c r="AO19" i="9"/>
  <c r="AO22" i="10"/>
  <c r="AN11" i="9"/>
  <c r="AO5" i="9"/>
  <c r="AO21" i="10"/>
  <c r="AO18" i="9"/>
  <c r="S16" i="11"/>
  <c r="U10" i="11"/>
  <c r="U38" i="9"/>
  <c r="U42" i="9"/>
  <c r="U35" i="9"/>
  <c r="AI13" i="10"/>
  <c r="AI31" i="9"/>
  <c r="AI29" i="9"/>
  <c r="AI17" i="10" s="1"/>
  <c r="AI27" i="10" s="1"/>
  <c r="AJ8" i="10"/>
  <c r="T44" i="9"/>
  <c r="T14" i="11" s="1"/>
  <c r="T36" i="9"/>
  <c r="T45" i="9" s="1"/>
  <c r="T15" i="11" s="1"/>
  <c r="T32" i="11"/>
  <c r="AK23" i="9"/>
  <c r="AK24" i="9"/>
  <c r="Y9" i="9"/>
  <c r="X41" i="9"/>
  <c r="X16" i="9"/>
  <c r="T13" i="11"/>
  <c r="J56" i="13"/>
  <c r="J57" i="13" s="1"/>
  <c r="J54" i="11"/>
  <c r="M69" i="11" l="1"/>
  <c r="M70" i="11" s="1"/>
  <c r="N67" i="11" s="1"/>
  <c r="M68" i="11"/>
  <c r="M23" i="11" s="1"/>
  <c r="J65" i="11"/>
  <c r="K49" i="11"/>
  <c r="Y41" i="9"/>
  <c r="Z9" i="9"/>
  <c r="Y16" i="9"/>
  <c r="X12" i="10"/>
  <c r="X26" i="9"/>
  <c r="X28" i="9"/>
  <c r="AP21" i="10"/>
  <c r="AP18" i="9"/>
  <c r="V10" i="11"/>
  <c r="V38" i="9"/>
  <c r="V42" i="9"/>
  <c r="V35" i="9"/>
  <c r="AK17" i="9"/>
  <c r="AK9" i="10"/>
  <c r="K63" i="11"/>
  <c r="K9" i="14"/>
  <c r="K11" i="14" s="1"/>
  <c r="K18" i="13"/>
  <c r="AK8" i="10"/>
  <c r="S38" i="11"/>
  <c r="S18" i="11"/>
  <c r="AQ19" i="6"/>
  <c r="AQ14" i="6"/>
  <c r="AQ8" i="7"/>
  <c r="AQ15" i="6"/>
  <c r="AQ7" i="7"/>
  <c r="AQ18" i="6"/>
  <c r="AQ17" i="6"/>
  <c r="AQ9" i="6"/>
  <c r="AQ7" i="6"/>
  <c r="AQ12" i="6" s="1"/>
  <c r="U61" i="11"/>
  <c r="T47" i="9"/>
  <c r="T16" i="11"/>
  <c r="U36" i="9"/>
  <c r="U45" i="9" s="1"/>
  <c r="U15" i="11" s="1"/>
  <c r="U44" i="9"/>
  <c r="U14" i="11" s="1"/>
  <c r="AP22" i="10"/>
  <c r="AP19" i="9"/>
  <c r="R16" i="13"/>
  <c r="R15" i="13"/>
  <c r="R72" i="11"/>
  <c r="R22" i="14" s="1"/>
  <c r="R23" i="14" s="1"/>
  <c r="R19" i="11"/>
  <c r="W33" i="9"/>
  <c r="W16" i="10"/>
  <c r="W26" i="10" s="1"/>
  <c r="W28" i="10" s="1"/>
  <c r="W30" i="9"/>
  <c r="U13" i="11"/>
  <c r="AP5" i="9"/>
  <c r="AO11" i="9"/>
  <c r="AJ13" i="10"/>
  <c r="AJ31" i="9"/>
  <c r="AJ29" i="9"/>
  <c r="AJ17" i="10" s="1"/>
  <c r="AJ27" i="10" s="1"/>
  <c r="AL23" i="9"/>
  <c r="AL24" i="9"/>
  <c r="U32" i="11"/>
  <c r="AM21" i="9"/>
  <c r="AN13" i="9"/>
  <c r="K56" i="13"/>
  <c r="K57" i="13" s="1"/>
  <c r="K54" i="11"/>
  <c r="L41" i="11"/>
  <c r="L25" i="11"/>
  <c r="L27" i="11" s="1"/>
  <c r="U16" i="11" l="1"/>
  <c r="U38" i="11" s="1"/>
  <c r="U47" i="9"/>
  <c r="L49" i="11"/>
  <c r="K65" i="11"/>
  <c r="AL8" i="10"/>
  <c r="L62" i="11"/>
  <c r="V32" i="11"/>
  <c r="Y26" i="9"/>
  <c r="Y12" i="10"/>
  <c r="Y28" i="9"/>
  <c r="T38" i="11"/>
  <c r="T18" i="11"/>
  <c r="Z41" i="9"/>
  <c r="AA9" i="9"/>
  <c r="Z16" i="9"/>
  <c r="AL9" i="10"/>
  <c r="AL17" i="9"/>
  <c r="AM24" i="9"/>
  <c r="AM23" i="9"/>
  <c r="X16" i="10"/>
  <c r="X26" i="10" s="1"/>
  <c r="X28" i="10" s="1"/>
  <c r="X33" i="9"/>
  <c r="X30" i="9"/>
  <c r="L44" i="11"/>
  <c r="L51" i="13"/>
  <c r="U18" i="11"/>
  <c r="V61" i="11"/>
  <c r="AQ18" i="9"/>
  <c r="AQ21" i="10"/>
  <c r="K27" i="14"/>
  <c r="K13" i="14"/>
  <c r="V36" i="9"/>
  <c r="V45" i="9" s="1"/>
  <c r="V15" i="11" s="1"/>
  <c r="V44" i="9"/>
  <c r="V14" i="11" s="1"/>
  <c r="M41" i="11"/>
  <c r="M51" i="13" s="1"/>
  <c r="M18" i="12" s="1"/>
  <c r="M25" i="11"/>
  <c r="M27" i="11" s="1"/>
  <c r="W38" i="9"/>
  <c r="W10" i="11"/>
  <c r="AK13" i="10"/>
  <c r="AK31" i="9"/>
  <c r="AK29" i="9"/>
  <c r="AK17" i="10" s="1"/>
  <c r="AK27" i="10" s="1"/>
  <c r="AO13" i="9"/>
  <c r="AN21" i="9"/>
  <c r="W42" i="9"/>
  <c r="W35" i="9"/>
  <c r="AQ22" i="10"/>
  <c r="AQ19" i="9"/>
  <c r="AQ5" i="9"/>
  <c r="AQ11" i="9" s="1"/>
  <c r="AP11" i="9"/>
  <c r="V13" i="11"/>
  <c r="S16" i="13"/>
  <c r="S72" i="11"/>
  <c r="S22" i="14" s="1"/>
  <c r="S23" i="14" s="1"/>
  <c r="S15" i="13"/>
  <c r="S19" i="11"/>
  <c r="V47" i="9" l="1"/>
  <c r="AL13" i="10"/>
  <c r="AL31" i="9"/>
  <c r="AL29" i="9"/>
  <c r="AL17" i="10" s="1"/>
  <c r="AL27" i="10" s="1"/>
  <c r="W44" i="9"/>
  <c r="W14" i="11" s="1"/>
  <c r="W36" i="9"/>
  <c r="W45" i="9" s="1"/>
  <c r="W15" i="11" s="1"/>
  <c r="V16" i="11"/>
  <c r="W13" i="11"/>
  <c r="W32" i="11"/>
  <c r="Y16" i="10"/>
  <c r="Y26" i="10" s="1"/>
  <c r="Y28" i="10" s="1"/>
  <c r="Y33" i="9"/>
  <c r="Y30" i="9"/>
  <c r="X42" i="9"/>
  <c r="X35" i="9"/>
  <c r="Z26" i="9"/>
  <c r="Z28" i="9"/>
  <c r="Z12" i="10"/>
  <c r="L9" i="14"/>
  <c r="L11" i="14" s="1"/>
  <c r="L18" i="13"/>
  <c r="L50" i="11"/>
  <c r="AN23" i="9"/>
  <c r="AN24" i="9"/>
  <c r="AP13" i="9"/>
  <c r="AO21" i="9"/>
  <c r="X38" i="9"/>
  <c r="X10" i="11"/>
  <c r="AA41" i="9"/>
  <c r="AB9" i="9"/>
  <c r="AA16" i="9"/>
  <c r="M40" i="11"/>
  <c r="M21" i="12"/>
  <c r="W61" i="11"/>
  <c r="AM8" i="10"/>
  <c r="U15" i="13"/>
  <c r="U72" i="11"/>
  <c r="U22" i="14" s="1"/>
  <c r="U23" i="14" s="1"/>
  <c r="U16" i="13"/>
  <c r="U19" i="11"/>
  <c r="AM9" i="10"/>
  <c r="AM17" i="9"/>
  <c r="T15" i="13"/>
  <c r="T16" i="13"/>
  <c r="T72" i="11"/>
  <c r="T22" i="14" s="1"/>
  <c r="T23" i="14" s="1"/>
  <c r="T19" i="11"/>
  <c r="M62" i="11"/>
  <c r="L63" i="11"/>
  <c r="Y35" i="9" l="1"/>
  <c r="Y42" i="9"/>
  <c r="X32" i="11"/>
  <c r="V38" i="11"/>
  <c r="V18" i="11"/>
  <c r="N17" i="12"/>
  <c r="M57" i="11"/>
  <c r="M28" i="13" s="1"/>
  <c r="L27" i="14"/>
  <c r="L13" i="14"/>
  <c r="AM13" i="10"/>
  <c r="AM31" i="9"/>
  <c r="AM29" i="9"/>
  <c r="AM17" i="10" s="1"/>
  <c r="AM27" i="10" s="1"/>
  <c r="M63" i="11"/>
  <c r="AP21" i="9"/>
  <c r="AQ13" i="9"/>
  <c r="AQ21" i="9" s="1"/>
  <c r="AN9" i="10"/>
  <c r="AN17" i="9"/>
  <c r="AC9" i="9"/>
  <c r="AB41" i="9"/>
  <c r="AB16" i="9"/>
  <c r="AN8" i="10"/>
  <c r="X44" i="9"/>
  <c r="X14" i="11" s="1"/>
  <c r="X36" i="9"/>
  <c r="X45" i="9" s="1"/>
  <c r="X15" i="11" s="1"/>
  <c r="W16" i="11"/>
  <c r="M22" i="13"/>
  <c r="M23" i="13" s="1"/>
  <c r="M44" i="11"/>
  <c r="M50" i="11" s="1"/>
  <c r="Y38" i="9"/>
  <c r="Y10" i="11"/>
  <c r="AO24" i="9"/>
  <c r="AO23" i="9"/>
  <c r="Z16" i="10"/>
  <c r="Z26" i="10" s="1"/>
  <c r="Z28" i="10" s="1"/>
  <c r="Z33" i="9"/>
  <c r="Z30" i="9"/>
  <c r="AA26" i="9"/>
  <c r="AA12" i="10"/>
  <c r="AA28" i="9"/>
  <c r="X61" i="11"/>
  <c r="L56" i="13"/>
  <c r="L54" i="11"/>
  <c r="X13" i="11"/>
  <c r="W47" i="9"/>
  <c r="AO8" i="10" l="1"/>
  <c r="AQ24" i="9"/>
  <c r="AQ23" i="9"/>
  <c r="AA30" i="9"/>
  <c r="AA33" i="9"/>
  <c r="AA16" i="10"/>
  <c r="AA26" i="10" s="1"/>
  <c r="AA28" i="10" s="1"/>
  <c r="Y32" i="11"/>
  <c r="L65" i="11"/>
  <c r="M49" i="11"/>
  <c r="M9" i="14"/>
  <c r="M11" i="14" s="1"/>
  <c r="M18" i="13"/>
  <c r="AB12" i="10"/>
  <c r="AB26" i="9"/>
  <c r="AB28" i="9"/>
  <c r="V15" i="13"/>
  <c r="V72" i="11"/>
  <c r="V22" i="14" s="1"/>
  <c r="V23" i="14" s="1"/>
  <c r="V19" i="11"/>
  <c r="V16" i="13"/>
  <c r="Z10" i="11"/>
  <c r="Z38" i="9"/>
  <c r="AN31" i="9"/>
  <c r="AN13" i="10"/>
  <c r="AN29" i="9"/>
  <c r="AN17" i="10" s="1"/>
  <c r="AN27" i="10" s="1"/>
  <c r="Z35" i="9"/>
  <c r="Z42" i="9"/>
  <c r="AC41" i="9"/>
  <c r="AD9" i="9"/>
  <c r="AC16" i="9"/>
  <c r="W38" i="11"/>
  <c r="W18" i="11"/>
  <c r="Y61" i="11"/>
  <c r="AO9" i="10"/>
  <c r="AO17" i="9"/>
  <c r="Y13" i="11"/>
  <c r="L55" i="13"/>
  <c r="L57" i="13" s="1"/>
  <c r="M26" i="13"/>
  <c r="X16" i="11"/>
  <c r="X47" i="9"/>
  <c r="AP24" i="9"/>
  <c r="AP23" i="9"/>
  <c r="Y44" i="9"/>
  <c r="Y14" i="11" s="1"/>
  <c r="Y36" i="9"/>
  <c r="Y45" i="9" s="1"/>
  <c r="Y15" i="11" s="1"/>
  <c r="M56" i="13"/>
  <c r="M54" i="11"/>
  <c r="N20" i="12"/>
  <c r="N21" i="11" s="1"/>
  <c r="N39" i="11" l="1"/>
  <c r="N22" i="11"/>
  <c r="X38" i="11"/>
  <c r="X18" i="11"/>
  <c r="Z13" i="11"/>
  <c r="AB16" i="10"/>
  <c r="AB26" i="10" s="1"/>
  <c r="AB28" i="10" s="1"/>
  <c r="AB33" i="9"/>
  <c r="AB30" i="9"/>
  <c r="Z44" i="9"/>
  <c r="Z14" i="11" s="1"/>
  <c r="Z36" i="9"/>
  <c r="Z45" i="9" s="1"/>
  <c r="Z15" i="11" s="1"/>
  <c r="W72" i="11"/>
  <c r="W22" i="14" s="1"/>
  <c r="W23" i="14" s="1"/>
  <c r="W15" i="13"/>
  <c r="W19" i="11"/>
  <c r="W16" i="13"/>
  <c r="Z32" i="11"/>
  <c r="AA38" i="9"/>
  <c r="AA10" i="11"/>
  <c r="Y16" i="11"/>
  <c r="AA35" i="9"/>
  <c r="AA42" i="9"/>
  <c r="AP8" i="10"/>
  <c r="AC12" i="10"/>
  <c r="AC26" i="9"/>
  <c r="AC28" i="9"/>
  <c r="M27" i="14"/>
  <c r="M13" i="14"/>
  <c r="AQ8" i="10"/>
  <c r="Y47" i="9"/>
  <c r="AP9" i="10"/>
  <c r="AP17" i="9"/>
  <c r="AO31" i="9"/>
  <c r="AO13" i="10"/>
  <c r="AO29" i="9"/>
  <c r="AO17" i="10" s="1"/>
  <c r="AO27" i="10" s="1"/>
  <c r="AD41" i="9"/>
  <c r="AE9" i="9"/>
  <c r="AD16" i="9"/>
  <c r="AQ17" i="9"/>
  <c r="AQ9" i="10"/>
  <c r="N49" i="11"/>
  <c r="M65" i="11"/>
  <c r="Z61" i="11"/>
  <c r="Z47" i="9" l="1"/>
  <c r="X72" i="11"/>
  <c r="X22" i="14" s="1"/>
  <c r="X23" i="14" s="1"/>
  <c r="X15" i="13"/>
  <c r="X16" i="13"/>
  <c r="X19" i="11"/>
  <c r="AA13" i="11"/>
  <c r="AE41" i="9"/>
  <c r="AF9" i="9"/>
  <c r="AE16" i="9"/>
  <c r="AA44" i="9"/>
  <c r="AA14" i="11" s="1"/>
  <c r="AA36" i="9"/>
  <c r="AA45" i="9" s="1"/>
  <c r="AA15" i="11" s="1"/>
  <c r="Y38" i="11"/>
  <c r="Y18" i="11"/>
  <c r="AB35" i="9"/>
  <c r="AB42" i="9"/>
  <c r="AA61" i="11"/>
  <c r="AP13" i="10"/>
  <c r="AP31" i="9"/>
  <c r="AP29" i="9"/>
  <c r="AP17" i="10" s="1"/>
  <c r="AP27" i="10" s="1"/>
  <c r="AB10" i="11"/>
  <c r="AB38" i="9"/>
  <c r="N68" i="11"/>
  <c r="N23" i="11" s="1"/>
  <c r="N41" i="11" s="1"/>
  <c r="N51" i="13" s="1"/>
  <c r="N18" i="12" s="1"/>
  <c r="N69" i="11"/>
  <c r="N70" i="11" s="1"/>
  <c r="O67" i="11" s="1"/>
  <c r="AC30" i="9"/>
  <c r="AC16" i="10"/>
  <c r="AC26" i="10" s="1"/>
  <c r="AC28" i="10" s="1"/>
  <c r="AC33" i="9"/>
  <c r="AQ13" i="10"/>
  <c r="AQ31" i="9"/>
  <c r="AQ29" i="9"/>
  <c r="AQ17" i="10" s="1"/>
  <c r="AQ27" i="10" s="1"/>
  <c r="AA32" i="11"/>
  <c r="AD12" i="10"/>
  <c r="AD26" i="9"/>
  <c r="AD28" i="9"/>
  <c r="Z16" i="11"/>
  <c r="N21" i="13"/>
  <c r="AD30" i="9" l="1"/>
  <c r="AD16" i="10"/>
  <c r="AD26" i="10" s="1"/>
  <c r="AD28" i="10" s="1"/>
  <c r="AD33" i="9"/>
  <c r="AC42" i="9"/>
  <c r="AC35" i="9"/>
  <c r="N25" i="11"/>
  <c r="Y19" i="11"/>
  <c r="Y72" i="11"/>
  <c r="Y22" i="14" s="1"/>
  <c r="Y23" i="14" s="1"/>
  <c r="Y16" i="13"/>
  <c r="Y15" i="13"/>
  <c r="AA16" i="11"/>
  <c r="N40" i="11"/>
  <c r="N21" i="12"/>
  <c r="N27" i="13"/>
  <c r="AB61" i="11"/>
  <c r="Z38" i="11"/>
  <c r="Z18" i="11"/>
  <c r="AB32" i="11"/>
  <c r="AG9" i="9"/>
  <c r="AF41" i="9"/>
  <c r="AF16" i="9"/>
  <c r="AC10" i="11"/>
  <c r="AC38" i="9"/>
  <c r="AB36" i="9"/>
  <c r="AB45" i="9" s="1"/>
  <c r="AB15" i="11" s="1"/>
  <c r="AB44" i="9"/>
  <c r="AB14" i="11" s="1"/>
  <c r="AB13" i="11"/>
  <c r="AE26" i="9"/>
  <c r="AE12" i="10"/>
  <c r="AE28" i="9"/>
  <c r="AA47" i="9"/>
  <c r="AE33" i="9" l="1"/>
  <c r="AE30" i="9"/>
  <c r="AE16" i="10"/>
  <c r="AE26" i="10" s="1"/>
  <c r="AE28" i="10" s="1"/>
  <c r="Z16" i="13"/>
  <c r="Z72" i="11"/>
  <c r="Z22" i="14" s="1"/>
  <c r="Z23" i="14" s="1"/>
  <c r="Z15" i="13"/>
  <c r="Z19" i="11"/>
  <c r="N22" i="13"/>
  <c r="N23" i="13" s="1"/>
  <c r="N44" i="11"/>
  <c r="AA38" i="11"/>
  <c r="AA18" i="11"/>
  <c r="AC32" i="11"/>
  <c r="N27" i="11"/>
  <c r="N62" i="11"/>
  <c r="AB16" i="11"/>
  <c r="AF12" i="10"/>
  <c r="AF26" i="9"/>
  <c r="AF28" i="9"/>
  <c r="AC61" i="11"/>
  <c r="AC36" i="9"/>
  <c r="AC45" i="9" s="1"/>
  <c r="AC15" i="11" s="1"/>
  <c r="AC44" i="9"/>
  <c r="AC14" i="11" s="1"/>
  <c r="AB47" i="9"/>
  <c r="AC13" i="11"/>
  <c r="AG41" i="9"/>
  <c r="AH9" i="9"/>
  <c r="AG16" i="9"/>
  <c r="AD42" i="9"/>
  <c r="AD35" i="9"/>
  <c r="AD10" i="11"/>
  <c r="AD38" i="9"/>
  <c r="O17" i="12"/>
  <c r="N57" i="11"/>
  <c r="N28" i="13" s="1"/>
  <c r="AC47" i="9" l="1"/>
  <c r="AC16" i="11"/>
  <c r="AH41" i="9"/>
  <c r="AI9" i="9"/>
  <c r="AH16" i="9"/>
  <c r="O20" i="12"/>
  <c r="O21" i="11" s="1"/>
  <c r="AF16" i="10"/>
  <c r="AF26" i="10" s="1"/>
  <c r="AF28" i="10" s="1"/>
  <c r="AF30" i="9"/>
  <c r="AF33" i="9"/>
  <c r="AA16" i="13"/>
  <c r="AA72" i="11"/>
  <c r="AA22" i="14" s="1"/>
  <c r="AA23" i="14" s="1"/>
  <c r="AA15" i="13"/>
  <c r="AA19" i="11"/>
  <c r="AD13" i="11"/>
  <c r="AE10" i="11"/>
  <c r="AE38" i="9"/>
  <c r="AD61" i="11"/>
  <c r="AD32" i="11"/>
  <c r="AD36" i="9"/>
  <c r="AD45" i="9" s="1"/>
  <c r="AD15" i="11" s="1"/>
  <c r="AD44" i="9"/>
  <c r="AD14" i="11" s="1"/>
  <c r="AB38" i="11"/>
  <c r="AB18" i="11"/>
  <c r="N18" i="13"/>
  <c r="N9" i="14"/>
  <c r="N11" i="14" s="1"/>
  <c r="N50" i="11"/>
  <c r="AG26" i="9"/>
  <c r="AG12" i="10"/>
  <c r="AG28" i="9"/>
  <c r="N63" i="11"/>
  <c r="M55" i="13"/>
  <c r="M57" i="13" s="1"/>
  <c r="N26" i="13"/>
  <c r="AE35" i="9"/>
  <c r="AE42" i="9"/>
  <c r="AC38" i="11" l="1"/>
  <c r="AC18" i="11"/>
  <c r="AE13" i="11"/>
  <c r="AD47" i="9"/>
  <c r="O39" i="11"/>
  <c r="O22" i="11"/>
  <c r="AF38" i="9"/>
  <c r="AF10" i="11"/>
  <c r="AE36" i="9"/>
  <c r="AE45" i="9" s="1"/>
  <c r="AE15" i="11" s="1"/>
  <c r="AE44" i="9"/>
  <c r="AE14" i="11" s="1"/>
  <c r="N54" i="11"/>
  <c r="N56" i="13"/>
  <c r="N27" i="14"/>
  <c r="N13" i="14"/>
  <c r="AE61" i="11"/>
  <c r="AH26" i="9"/>
  <c r="AH12" i="10"/>
  <c r="AH28" i="9"/>
  <c r="AG16" i="10"/>
  <c r="AG26" i="10" s="1"/>
  <c r="AG28" i="10" s="1"/>
  <c r="AG33" i="9"/>
  <c r="AG30" i="9"/>
  <c r="AE32" i="11"/>
  <c r="AF35" i="9"/>
  <c r="AF42" i="9"/>
  <c r="AI41" i="9"/>
  <c r="AJ9" i="9"/>
  <c r="AI16" i="9"/>
  <c r="AB15" i="13"/>
  <c r="AB16" i="13"/>
  <c r="AB72" i="11"/>
  <c r="AB22" i="14" s="1"/>
  <c r="AB23" i="14" s="1"/>
  <c r="AB19" i="11"/>
  <c r="AD16" i="11"/>
  <c r="AC16" i="13" l="1"/>
  <c r="AC72" i="11"/>
  <c r="AC22" i="14" s="1"/>
  <c r="AC23" i="14" s="1"/>
  <c r="AC19" i="11"/>
  <c r="AC15" i="13"/>
  <c r="AF44" i="9"/>
  <c r="AF14" i="11" s="1"/>
  <c r="AF36" i="9"/>
  <c r="AF45" i="9" s="1"/>
  <c r="AF15" i="11" s="1"/>
  <c r="AF13" i="11"/>
  <c r="AH16" i="10"/>
  <c r="AH26" i="10" s="1"/>
  <c r="AH28" i="10" s="1"/>
  <c r="AH33" i="9"/>
  <c r="AH30" i="9"/>
  <c r="O69" i="11"/>
  <c r="O70" i="11" s="1"/>
  <c r="P67" i="11" s="1"/>
  <c r="O68" i="11"/>
  <c r="O23" i="11" s="1"/>
  <c r="O41" i="11" s="1"/>
  <c r="O51" i="13" s="1"/>
  <c r="O18" i="12" s="1"/>
  <c r="O25" i="11"/>
  <c r="O21" i="13"/>
  <c r="O49" i="11"/>
  <c r="N65" i="11"/>
  <c r="AK9" i="9"/>
  <c r="AJ41" i="9"/>
  <c r="AJ16" i="9"/>
  <c r="AE16" i="11"/>
  <c r="AF61" i="11"/>
  <c r="AI12" i="10"/>
  <c r="AI26" i="9"/>
  <c r="AI28" i="9"/>
  <c r="AG42" i="9"/>
  <c r="AG35" i="9"/>
  <c r="AD38" i="11"/>
  <c r="AD18" i="11"/>
  <c r="AG38" i="9"/>
  <c r="AG10" i="11"/>
  <c r="AF32" i="11"/>
  <c r="AE47" i="9"/>
  <c r="AF47" i="9" l="1"/>
  <c r="AF16" i="11"/>
  <c r="AF38" i="11" s="1"/>
  <c r="AD15" i="13"/>
  <c r="AD16" i="13"/>
  <c r="AD72" i="11"/>
  <c r="AD22" i="14" s="1"/>
  <c r="AD23" i="14" s="1"/>
  <c r="AD19" i="11"/>
  <c r="AH42" i="9"/>
  <c r="AH35" i="9"/>
  <c r="AH38" i="9"/>
  <c r="AH10" i="11"/>
  <c r="AG44" i="9"/>
  <c r="AG14" i="11" s="1"/>
  <c r="AG36" i="9"/>
  <c r="AG45" i="9" s="1"/>
  <c r="AG15" i="11" s="1"/>
  <c r="AG61" i="11"/>
  <c r="AG13" i="11"/>
  <c r="AE38" i="11"/>
  <c r="AE18" i="11"/>
  <c r="O27" i="13"/>
  <c r="AG32" i="11"/>
  <c r="AI30" i="9"/>
  <c r="AI16" i="10"/>
  <c r="AI26" i="10" s="1"/>
  <c r="AI28" i="10" s="1"/>
  <c r="AI33" i="9"/>
  <c r="AJ26" i="9"/>
  <c r="AJ12" i="10"/>
  <c r="AJ28" i="9"/>
  <c r="O27" i="11"/>
  <c r="O62" i="11"/>
  <c r="O40" i="11"/>
  <c r="O21" i="12"/>
  <c r="AL9" i="9"/>
  <c r="AK41" i="9"/>
  <c r="AK16" i="9"/>
  <c r="AF18" i="11" l="1"/>
  <c r="AG16" i="11"/>
  <c r="AG38" i="11" s="1"/>
  <c r="AG47" i="9"/>
  <c r="AI10" i="11"/>
  <c r="AI38" i="9"/>
  <c r="O63" i="11"/>
  <c r="AG18" i="11"/>
  <c r="AK26" i="9"/>
  <c r="AK12" i="10"/>
  <c r="AK28" i="9"/>
  <c r="AH61" i="11"/>
  <c r="AJ16" i="10"/>
  <c r="AJ26" i="10" s="1"/>
  <c r="AJ28" i="10" s="1"/>
  <c r="AJ33" i="9"/>
  <c r="AJ30" i="9"/>
  <c r="AH32" i="11"/>
  <c r="AL41" i="9"/>
  <c r="AM9" i="9"/>
  <c r="AL16" i="9"/>
  <c r="P17" i="12"/>
  <c r="O57" i="11"/>
  <c r="O28" i="13" s="1"/>
  <c r="AE15" i="13"/>
  <c r="AE16" i="13"/>
  <c r="AE19" i="11"/>
  <c r="AE72" i="11"/>
  <c r="AE22" i="14" s="1"/>
  <c r="AE23" i="14" s="1"/>
  <c r="O22" i="13"/>
  <c r="O23" i="13" s="1"/>
  <c r="O44" i="11"/>
  <c r="AI42" i="9"/>
  <c r="AI35" i="9"/>
  <c r="AH44" i="9"/>
  <c r="AH14" i="11" s="1"/>
  <c r="AH36" i="9"/>
  <c r="AH45" i="9" s="1"/>
  <c r="AH15" i="11" s="1"/>
  <c r="AH13" i="11"/>
  <c r="AF72" i="11" l="1"/>
  <c r="AF22" i="14" s="1"/>
  <c r="AF23" i="14" s="1"/>
  <c r="AF16" i="13"/>
  <c r="AF15" i="13"/>
  <c r="AF19" i="11"/>
  <c r="AM41" i="9"/>
  <c r="AN9" i="9"/>
  <c r="AM16" i="9"/>
  <c r="AI44" i="9"/>
  <c r="AI14" i="11" s="1"/>
  <c r="AI36" i="9"/>
  <c r="AI45" i="9" s="1"/>
  <c r="AI15" i="11" s="1"/>
  <c r="AI13" i="11"/>
  <c r="AK16" i="10"/>
  <c r="AK26" i="10" s="1"/>
  <c r="AK28" i="10" s="1"/>
  <c r="AK33" i="9"/>
  <c r="AK30" i="9"/>
  <c r="AH47" i="9"/>
  <c r="O18" i="13"/>
  <c r="O9" i="14"/>
  <c r="O11" i="14" s="1"/>
  <c r="O50" i="11"/>
  <c r="P20" i="12"/>
  <c r="P21" i="11" s="1"/>
  <c r="AJ35" i="9"/>
  <c r="AJ42" i="9"/>
  <c r="AJ10" i="11"/>
  <c r="AJ38" i="9"/>
  <c r="AL12" i="10"/>
  <c r="AL26" i="9"/>
  <c r="AL28" i="9"/>
  <c r="AG72" i="11"/>
  <c r="AG22" i="14" s="1"/>
  <c r="AG23" i="14" s="1"/>
  <c r="AG19" i="11"/>
  <c r="AG15" i="13"/>
  <c r="AG16" i="13"/>
  <c r="AH16" i="11"/>
  <c r="O26" i="13"/>
  <c r="N55" i="13"/>
  <c r="N57" i="13" s="1"/>
  <c r="AI61" i="11"/>
  <c r="AI32" i="11"/>
  <c r="AI16" i="11" l="1"/>
  <c r="AI38" i="11" s="1"/>
  <c r="O27" i="14"/>
  <c r="O13" i="14"/>
  <c r="O56" i="13"/>
  <c r="O54" i="11"/>
  <c r="AI18" i="11"/>
  <c r="AJ61" i="11"/>
  <c r="AJ32" i="11"/>
  <c r="AJ13" i="11"/>
  <c r="AJ44" i="9"/>
  <c r="AJ14" i="11" s="1"/>
  <c r="AJ36" i="9"/>
  <c r="AJ45" i="9" s="1"/>
  <c r="AJ15" i="11" s="1"/>
  <c r="AK42" i="9"/>
  <c r="AK35" i="9"/>
  <c r="AM12" i="10"/>
  <c r="AM26" i="9"/>
  <c r="AM28" i="9"/>
  <c r="P39" i="11"/>
  <c r="P22" i="11"/>
  <c r="AK10" i="11"/>
  <c r="AK38" i="9"/>
  <c r="AN41" i="9"/>
  <c r="AO9" i="9"/>
  <c r="AN16" i="9"/>
  <c r="AH38" i="11"/>
  <c r="AH18" i="11"/>
  <c r="AL30" i="9"/>
  <c r="AL16" i="10"/>
  <c r="AL26" i="10" s="1"/>
  <c r="AL28" i="10" s="1"/>
  <c r="AL33" i="9"/>
  <c r="AI47" i="9"/>
  <c r="AJ16" i="11" l="1"/>
  <c r="AJ38" i="11" s="1"/>
  <c r="AJ47" i="9"/>
  <c r="AP9" i="9"/>
  <c r="AO41" i="9"/>
  <c r="AO16" i="9"/>
  <c r="AM33" i="9"/>
  <c r="AM30" i="9"/>
  <c r="AM16" i="10"/>
  <c r="AM26" i="10" s="1"/>
  <c r="AM28" i="10" s="1"/>
  <c r="AI16" i="13"/>
  <c r="AI72" i="11"/>
  <c r="AI22" i="14" s="1"/>
  <c r="AI23" i="14" s="1"/>
  <c r="AI15" i="13"/>
  <c r="AI19" i="11"/>
  <c r="AL35" i="9"/>
  <c r="AL42" i="9"/>
  <c r="P49" i="11"/>
  <c r="O65" i="11"/>
  <c r="AL10" i="11"/>
  <c r="AL38" i="9"/>
  <c r="AK32" i="11"/>
  <c r="AK44" i="9"/>
  <c r="AK14" i="11" s="1"/>
  <c r="AK36" i="9"/>
  <c r="AK45" i="9" s="1"/>
  <c r="AK15" i="11" s="1"/>
  <c r="AJ18" i="11"/>
  <c r="P68" i="11"/>
  <c r="P23" i="11" s="1"/>
  <c r="P41" i="11" s="1"/>
  <c r="P51" i="13" s="1"/>
  <c r="P18" i="12" s="1"/>
  <c r="P69" i="11"/>
  <c r="P70" i="11" s="1"/>
  <c r="Q67" i="11" s="1"/>
  <c r="AK13" i="11"/>
  <c r="AH16" i="13"/>
  <c r="AH15" i="13"/>
  <c r="AH19" i="11"/>
  <c r="AH72" i="11"/>
  <c r="AH22" i="14" s="1"/>
  <c r="AH23" i="14" s="1"/>
  <c r="P21" i="13"/>
  <c r="AK61" i="11"/>
  <c r="AN12" i="10"/>
  <c r="AN26" i="9"/>
  <c r="AN28" i="9"/>
  <c r="P25" i="11" l="1"/>
  <c r="AL61" i="11"/>
  <c r="AL13" i="11"/>
  <c r="AL44" i="9"/>
  <c r="AL14" i="11" s="1"/>
  <c r="AL36" i="9"/>
  <c r="AL45" i="9" s="1"/>
  <c r="AL15" i="11" s="1"/>
  <c r="AM10" i="11"/>
  <c r="AM38" i="9"/>
  <c r="P27" i="13"/>
  <c r="AM42" i="9"/>
  <c r="AM35" i="9"/>
  <c r="AJ15" i="13"/>
  <c r="AJ72" i="11"/>
  <c r="AJ22" i="14" s="1"/>
  <c r="AJ23" i="14" s="1"/>
  <c r="AJ16" i="13"/>
  <c r="AJ19" i="11"/>
  <c r="AK16" i="11"/>
  <c r="AK47" i="9"/>
  <c r="AN16" i="10"/>
  <c r="AN26" i="10" s="1"/>
  <c r="AN28" i="10" s="1"/>
  <c r="AN33" i="9"/>
  <c r="AN30" i="9"/>
  <c r="P27" i="11"/>
  <c r="P62" i="11"/>
  <c r="AO26" i="9"/>
  <c r="AO12" i="10"/>
  <c r="AO28" i="9"/>
  <c r="P40" i="11"/>
  <c r="P21" i="12"/>
  <c r="AL32" i="11"/>
  <c r="AP41" i="9"/>
  <c r="AQ9" i="9"/>
  <c r="AP16" i="9"/>
  <c r="AP12" i="10" l="1"/>
  <c r="AP26" i="9"/>
  <c r="AP28" i="9"/>
  <c r="Q17" i="12"/>
  <c r="P57" i="11"/>
  <c r="P28" i="13" s="1"/>
  <c r="AM32" i="11"/>
  <c r="P22" i="13"/>
  <c r="P23" i="13" s="1"/>
  <c r="P44" i="11"/>
  <c r="AQ41" i="9"/>
  <c r="AQ16" i="9"/>
  <c r="AO30" i="9"/>
  <c r="AO33" i="9"/>
  <c r="AO16" i="10"/>
  <c r="AO26" i="10" s="1"/>
  <c r="AO28" i="10" s="1"/>
  <c r="AL47" i="9"/>
  <c r="AN35" i="9"/>
  <c r="AN42" i="9"/>
  <c r="AN38" i="9"/>
  <c r="AN10" i="11"/>
  <c r="AM36" i="9"/>
  <c r="AM45" i="9" s="1"/>
  <c r="AM15" i="11" s="1"/>
  <c r="AM44" i="9"/>
  <c r="AM14" i="11" s="1"/>
  <c r="AM13" i="11"/>
  <c r="AL16" i="11"/>
  <c r="P63" i="11"/>
  <c r="AK38" i="11"/>
  <c r="AK18" i="11"/>
  <c r="AM61" i="11"/>
  <c r="AO38" i="9" l="1"/>
  <c r="AO10" i="11"/>
  <c r="O55" i="13"/>
  <c r="O57" i="13" s="1"/>
  <c r="P26" i="13"/>
  <c r="AN13" i="11"/>
  <c r="AQ12" i="10"/>
  <c r="AQ26" i="9"/>
  <c r="AQ28" i="9"/>
  <c r="AK15" i="13"/>
  <c r="AK72" i="11"/>
  <c r="AK22" i="14" s="1"/>
  <c r="AK23" i="14" s="1"/>
  <c r="AK16" i="13"/>
  <c r="AK19" i="11"/>
  <c r="AO42" i="9"/>
  <c r="AO35" i="9"/>
  <c r="AN32" i="11"/>
  <c r="AM47" i="9"/>
  <c r="Q20" i="12"/>
  <c r="Q21" i="11" s="1"/>
  <c r="AL38" i="11"/>
  <c r="AL18" i="11"/>
  <c r="AN36" i="9"/>
  <c r="AN45" i="9" s="1"/>
  <c r="AN15" i="11" s="1"/>
  <c r="AN44" i="9"/>
  <c r="AN14" i="11" s="1"/>
  <c r="AP30" i="9"/>
  <c r="AP33" i="9"/>
  <c r="AP16" i="10"/>
  <c r="AP26" i="10" s="1"/>
  <c r="AP28" i="10" s="1"/>
  <c r="AN61" i="11"/>
  <c r="AM16" i="11"/>
  <c r="P18" i="13"/>
  <c r="P9" i="14"/>
  <c r="P11" i="14" s="1"/>
  <c r="P50" i="11"/>
  <c r="AN47" i="9" l="1"/>
  <c r="AN16" i="11"/>
  <c r="AN38" i="11" s="1"/>
  <c r="AO61" i="11"/>
  <c r="Q39" i="11"/>
  <c r="Q22" i="11"/>
  <c r="P27" i="14"/>
  <c r="P13" i="14"/>
  <c r="AO44" i="9"/>
  <c r="AO14" i="11" s="1"/>
  <c r="AO36" i="9"/>
  <c r="AO45" i="9" s="1"/>
  <c r="AO15" i="11" s="1"/>
  <c r="AO13" i="11"/>
  <c r="P54" i="11"/>
  <c r="P56" i="13"/>
  <c r="AP38" i="9"/>
  <c r="AP10" i="11"/>
  <c r="AP42" i="9"/>
  <c r="AP35" i="9"/>
  <c r="AM38" i="11"/>
  <c r="AM18" i="11"/>
  <c r="AN18" i="11"/>
  <c r="AO32" i="11"/>
  <c r="AL16" i="13"/>
  <c r="AL72" i="11"/>
  <c r="AL22" i="14" s="1"/>
  <c r="AL23" i="14" s="1"/>
  <c r="AL15" i="13"/>
  <c r="AL19" i="11"/>
  <c r="AQ30" i="9"/>
  <c r="AQ16" i="10"/>
  <c r="AQ26" i="10" s="1"/>
  <c r="AQ28" i="10" s="1"/>
  <c r="AQ33" i="9"/>
  <c r="Q68" i="11" l="1"/>
  <c r="Q23" i="11" s="1"/>
  <c r="Q41" i="11" s="1"/>
  <c r="Q51" i="13" s="1"/>
  <c r="Q18" i="12" s="1"/>
  <c r="Q69" i="11"/>
  <c r="Q70" i="11" s="1"/>
  <c r="R67" i="11" s="1"/>
  <c r="AM16" i="13"/>
  <c r="AM72" i="11"/>
  <c r="AM22" i="14" s="1"/>
  <c r="AM23" i="14" s="1"/>
  <c r="AM15" i="13"/>
  <c r="AM19" i="11"/>
  <c r="Q49" i="11"/>
  <c r="P65" i="11"/>
  <c r="Q21" i="13"/>
  <c r="AQ38" i="9"/>
  <c r="AQ10" i="11"/>
  <c r="AP32" i="11"/>
  <c r="AN15" i="13"/>
  <c r="AN72" i="11"/>
  <c r="AN22" i="14" s="1"/>
  <c r="AN23" i="14" s="1"/>
  <c r="AN16" i="13"/>
  <c r="AN19" i="11"/>
  <c r="AO47" i="9"/>
  <c r="AP36" i="9"/>
  <c r="AP45" i="9" s="1"/>
  <c r="AP15" i="11" s="1"/>
  <c r="AP44" i="9"/>
  <c r="AP14" i="11" s="1"/>
  <c r="AO16" i="11"/>
  <c r="AQ42" i="9"/>
  <c r="AQ35" i="9"/>
  <c r="AP13" i="11"/>
  <c r="AP61" i="11"/>
  <c r="Q25" i="11" l="1"/>
  <c r="AQ13" i="11"/>
  <c r="AO38" i="11"/>
  <c r="AO18" i="11"/>
  <c r="Q27" i="13"/>
  <c r="Q27" i="11"/>
  <c r="Q62" i="11"/>
  <c r="AQ61" i="11"/>
  <c r="Q40" i="11"/>
  <c r="Q21" i="12"/>
  <c r="AP16" i="11"/>
  <c r="AP47" i="9"/>
  <c r="AQ44" i="9"/>
  <c r="AQ14" i="11" s="1"/>
  <c r="AQ36" i="9"/>
  <c r="AQ45" i="9" s="1"/>
  <c r="AQ15" i="11" s="1"/>
  <c r="AQ32" i="11"/>
  <c r="Q63" i="11" l="1"/>
  <c r="AP38" i="11"/>
  <c r="AP18" i="11"/>
  <c r="R17" i="12"/>
  <c r="Q57" i="11"/>
  <c r="Q28" i="13" s="1"/>
  <c r="Q22" i="13"/>
  <c r="Q23" i="13" s="1"/>
  <c r="Q44" i="11"/>
  <c r="AO15" i="13"/>
  <c r="AO72" i="11"/>
  <c r="AO22" i="14" s="1"/>
  <c r="AO23" i="14" s="1"/>
  <c r="AO19" i="11"/>
  <c r="AO16" i="13"/>
  <c r="AQ47" i="9"/>
  <c r="AQ16" i="11"/>
  <c r="P55" i="13" l="1"/>
  <c r="P57" i="13" s="1"/>
  <c r="Q26" i="13"/>
  <c r="AP16" i="13"/>
  <c r="AP72" i="11"/>
  <c r="AP22" i="14" s="1"/>
  <c r="AP23" i="14" s="1"/>
  <c r="AP15" i="13"/>
  <c r="AP19" i="11"/>
  <c r="Q18" i="13"/>
  <c r="Q9" i="14"/>
  <c r="Q11" i="14" s="1"/>
  <c r="Q50" i="11"/>
  <c r="R20" i="12"/>
  <c r="R21" i="11" s="1"/>
  <c r="AQ38" i="11"/>
  <c r="AQ18" i="11"/>
  <c r="AQ16" i="13" l="1"/>
  <c r="AQ72" i="11"/>
  <c r="AQ22" i="14" s="1"/>
  <c r="AQ23" i="14" s="1"/>
  <c r="AQ15" i="13"/>
  <c r="AQ19" i="11"/>
  <c r="E32" i="1"/>
  <c r="D32" i="1"/>
  <c r="R39" i="11"/>
  <c r="R22" i="11"/>
  <c r="Q56" i="13"/>
  <c r="Q54" i="11"/>
  <c r="Q27" i="14"/>
  <c r="Q13" i="14"/>
  <c r="Q65" i="11" l="1"/>
  <c r="R49" i="11"/>
  <c r="R68" i="11"/>
  <c r="R23" i="11" s="1"/>
  <c r="R41" i="11" s="1"/>
  <c r="R51" i="13" s="1"/>
  <c r="R18" i="12" s="1"/>
  <c r="R69" i="11"/>
  <c r="R70" i="11" s="1"/>
  <c r="S67" i="11" s="1"/>
  <c r="R21" i="13"/>
  <c r="D23" i="14"/>
  <c r="D25" i="14" s="1"/>
  <c r="D24" i="1" s="1"/>
  <c r="G23" i="14"/>
  <c r="R40" i="11" l="1"/>
  <c r="R22" i="13" s="1"/>
  <c r="R23" i="13" s="1"/>
  <c r="R21" i="12"/>
  <c r="R27" i="13"/>
  <c r="R25" i="11"/>
  <c r="R44" i="11"/>
  <c r="R9" i="14" l="1"/>
  <c r="R11" i="14" s="1"/>
  <c r="R18" i="13"/>
  <c r="R50" i="11"/>
  <c r="R27" i="11"/>
  <c r="R62" i="11"/>
  <c r="Q55" i="13"/>
  <c r="Q57" i="13" s="1"/>
  <c r="R26" i="13"/>
  <c r="R57" i="11"/>
  <c r="R28" i="13" s="1"/>
  <c r="S17" i="12"/>
  <c r="R63" i="11" l="1"/>
  <c r="R56" i="13"/>
  <c r="R54" i="11"/>
  <c r="S20" i="12"/>
  <c r="S21" i="11" s="1"/>
  <c r="R27" i="14"/>
  <c r="R13" i="14"/>
  <c r="S39" i="11" l="1"/>
  <c r="S22" i="11"/>
  <c r="R65" i="11"/>
  <c r="S49" i="11"/>
  <c r="S69" i="11" l="1"/>
  <c r="S70" i="11" s="1"/>
  <c r="T67" i="11" s="1"/>
  <c r="S68" i="11"/>
  <c r="S23" i="11" s="1"/>
  <c r="S41" i="11" s="1"/>
  <c r="S51" i="13" s="1"/>
  <c r="S18" i="12" s="1"/>
  <c r="S21" i="13"/>
  <c r="S25" i="11" l="1"/>
  <c r="S27" i="11" s="1"/>
  <c r="S27" i="13"/>
  <c r="S62" i="11"/>
  <c r="S40" i="11"/>
  <c r="S21" i="12"/>
  <c r="S57" i="11" l="1"/>
  <c r="S28" i="13" s="1"/>
  <c r="T17" i="12"/>
  <c r="S22" i="13"/>
  <c r="S23" i="13" s="1"/>
  <c r="S44" i="11"/>
  <c r="S63" i="11"/>
  <c r="S9" i="14" l="1"/>
  <c r="S11" i="14" s="1"/>
  <c r="S18" i="13"/>
  <c r="S50" i="11"/>
  <c r="R55" i="13"/>
  <c r="R57" i="13" s="1"/>
  <c r="S26" i="13"/>
  <c r="T20" i="12"/>
  <c r="T21" i="11" s="1"/>
  <c r="S56" i="13" l="1"/>
  <c r="S54" i="11"/>
  <c r="S27" i="14"/>
  <c r="S13" i="14"/>
  <c r="T39" i="11"/>
  <c r="T22" i="11"/>
  <c r="T21" i="13" l="1"/>
  <c r="S65" i="11"/>
  <c r="T49" i="11"/>
  <c r="T69" i="11"/>
  <c r="T70" i="11" s="1"/>
  <c r="U67" i="11" s="1"/>
  <c r="T68" i="11"/>
  <c r="T23" i="11" s="1"/>
  <c r="T41" i="11" s="1"/>
  <c r="T51" i="13" s="1"/>
  <c r="T18" i="12" s="1"/>
  <c r="T40" i="11" l="1"/>
  <c r="T22" i="13" s="1"/>
  <c r="T23" i="13" s="1"/>
  <c r="T21" i="12"/>
  <c r="T25" i="11"/>
  <c r="T27" i="13"/>
  <c r="T44" i="11" l="1"/>
  <c r="T27" i="11"/>
  <c r="T62" i="11"/>
  <c r="T9" i="14"/>
  <c r="T11" i="14" s="1"/>
  <c r="T18" i="13"/>
  <c r="T50" i="11"/>
  <c r="T57" i="11"/>
  <c r="T28" i="13" s="1"/>
  <c r="U17" i="12"/>
  <c r="S55" i="13"/>
  <c r="S57" i="13" s="1"/>
  <c r="T26" i="13"/>
  <c r="U20" i="12" l="1"/>
  <c r="U21" i="11" s="1"/>
  <c r="T56" i="13"/>
  <c r="T54" i="11"/>
  <c r="T27" i="14"/>
  <c r="T13" i="14"/>
  <c r="T63" i="11"/>
  <c r="U39" i="11" l="1"/>
  <c r="U22" i="11"/>
  <c r="T65" i="11"/>
  <c r="U49" i="11"/>
  <c r="U69" i="11" l="1"/>
  <c r="U70" i="11" s="1"/>
  <c r="V67" i="11" s="1"/>
  <c r="U68" i="11"/>
  <c r="U23" i="11" s="1"/>
  <c r="U41" i="11" s="1"/>
  <c r="U51" i="13" s="1"/>
  <c r="U18" i="12" s="1"/>
  <c r="U21" i="13"/>
  <c r="U25" i="11" l="1"/>
  <c r="U27" i="13"/>
  <c r="U27" i="11"/>
  <c r="U62" i="11"/>
  <c r="U40" i="11"/>
  <c r="U21" i="12"/>
  <c r="U57" i="11" l="1"/>
  <c r="U28" i="13" s="1"/>
  <c r="V17" i="12"/>
  <c r="U22" i="13"/>
  <c r="U23" i="13" s="1"/>
  <c r="U44" i="11"/>
  <c r="U63" i="11"/>
  <c r="U9" i="14" l="1"/>
  <c r="U11" i="14" s="1"/>
  <c r="U18" i="13"/>
  <c r="U50" i="11"/>
  <c r="T55" i="13"/>
  <c r="T57" i="13" s="1"/>
  <c r="U26" i="13"/>
  <c r="V20" i="12"/>
  <c r="V21" i="11" s="1"/>
  <c r="V39" i="11" l="1"/>
  <c r="V22" i="11"/>
  <c r="U56" i="13"/>
  <c r="U54" i="11"/>
  <c r="U27" i="14"/>
  <c r="U13" i="14"/>
  <c r="V69" i="11" l="1"/>
  <c r="V70" i="11" s="1"/>
  <c r="W67" i="11" s="1"/>
  <c r="V68" i="11"/>
  <c r="V23" i="11" s="1"/>
  <c r="V41" i="11" s="1"/>
  <c r="V51" i="13" s="1"/>
  <c r="V18" i="12" s="1"/>
  <c r="V21" i="13"/>
  <c r="V49" i="11"/>
  <c r="U65" i="11"/>
  <c r="V27" i="13" l="1"/>
  <c r="V40" i="11"/>
  <c r="V21" i="12"/>
  <c r="V25" i="11"/>
  <c r="V27" i="11" l="1"/>
  <c r="V62" i="11"/>
  <c r="W17" i="12"/>
  <c r="V57" i="11"/>
  <c r="V28" i="13" s="1"/>
  <c r="V22" i="13"/>
  <c r="V23" i="13" s="1"/>
  <c r="V44" i="11"/>
  <c r="V18" i="13" l="1"/>
  <c r="V9" i="14"/>
  <c r="V11" i="14" s="1"/>
  <c r="V50" i="11"/>
  <c r="U55" i="13"/>
  <c r="U57" i="13" s="1"/>
  <c r="V26" i="13"/>
  <c r="W20" i="12"/>
  <c r="W21" i="11" s="1"/>
  <c r="V63" i="11"/>
  <c r="W39" i="11" l="1"/>
  <c r="W22" i="11"/>
  <c r="V54" i="11"/>
  <c r="V56" i="13"/>
  <c r="V27" i="14"/>
  <c r="V13" i="14"/>
  <c r="W49" i="11" l="1"/>
  <c r="V65" i="11"/>
  <c r="W69" i="11"/>
  <c r="W70" i="11" s="1"/>
  <c r="X67" i="11" s="1"/>
  <c r="W68" i="11"/>
  <c r="W23" i="11" s="1"/>
  <c r="W41" i="11" s="1"/>
  <c r="W51" i="13" s="1"/>
  <c r="W18" i="12" s="1"/>
  <c r="W21" i="13"/>
  <c r="W27" i="13" l="1"/>
  <c r="W40" i="11"/>
  <c r="W21" i="12"/>
  <c r="W25" i="11"/>
  <c r="W27" i="11" l="1"/>
  <c r="W62" i="11"/>
  <c r="W22" i="13"/>
  <c r="W23" i="13" s="1"/>
  <c r="W44" i="11"/>
  <c r="X17" i="12"/>
  <c r="W57" i="11"/>
  <c r="W28" i="13" s="1"/>
  <c r="X20" i="12" l="1"/>
  <c r="X21" i="11" s="1"/>
  <c r="W9" i="14"/>
  <c r="W11" i="14" s="1"/>
  <c r="W18" i="13"/>
  <c r="W50" i="11"/>
  <c r="W26" i="13"/>
  <c r="V55" i="13"/>
  <c r="V57" i="13" s="1"/>
  <c r="W63" i="11"/>
  <c r="W56" i="13" l="1"/>
  <c r="W54" i="11"/>
  <c r="W27" i="14"/>
  <c r="W13" i="14"/>
  <c r="X39" i="11"/>
  <c r="X22" i="11"/>
  <c r="X69" i="11" l="1"/>
  <c r="X70" i="11" s="1"/>
  <c r="Y67" i="11" s="1"/>
  <c r="X68" i="11"/>
  <c r="X23" i="11" s="1"/>
  <c r="X41" i="11" s="1"/>
  <c r="X51" i="13" s="1"/>
  <c r="X18" i="12" s="1"/>
  <c r="X21" i="13"/>
  <c r="X49" i="11"/>
  <c r="W65" i="11"/>
  <c r="X25" i="11" l="1"/>
  <c r="X27" i="13"/>
  <c r="X27" i="11"/>
  <c r="X62" i="11"/>
  <c r="X40" i="11"/>
  <c r="X21" i="12"/>
  <c r="Y17" i="12" l="1"/>
  <c r="X57" i="11"/>
  <c r="X28" i="13" s="1"/>
  <c r="X22" i="13"/>
  <c r="X23" i="13" s="1"/>
  <c r="X44" i="11"/>
  <c r="X63" i="11"/>
  <c r="X9" i="14" l="1"/>
  <c r="X11" i="14" s="1"/>
  <c r="X18" i="13"/>
  <c r="X50" i="11"/>
  <c r="X26" i="13"/>
  <c r="W55" i="13"/>
  <c r="W57" i="13" s="1"/>
  <c r="Y20" i="12"/>
  <c r="Y21" i="11" s="1"/>
  <c r="X56" i="13" l="1"/>
  <c r="X54" i="11"/>
  <c r="X27" i="14"/>
  <c r="X13" i="14"/>
  <c r="Y39" i="11"/>
  <c r="Y22" i="11"/>
  <c r="Y68" i="11" l="1"/>
  <c r="Y23" i="11" s="1"/>
  <c r="Y41" i="11" s="1"/>
  <c r="Y51" i="13" s="1"/>
  <c r="Y18" i="12" s="1"/>
  <c r="Y69" i="11"/>
  <c r="Y70" i="11" s="1"/>
  <c r="Z67" i="11" s="1"/>
  <c r="Y25" i="11"/>
  <c r="Y21" i="13"/>
  <c r="Y49" i="11"/>
  <c r="X65" i="11"/>
  <c r="Y27" i="13" l="1"/>
  <c r="Y27" i="11"/>
  <c r="Y62" i="11"/>
  <c r="Y40" i="11"/>
  <c r="Y21" i="12"/>
  <c r="Z17" i="12" l="1"/>
  <c r="Y57" i="11"/>
  <c r="Y28" i="13" s="1"/>
  <c r="Y22" i="13"/>
  <c r="Y23" i="13" s="1"/>
  <c r="Y44" i="11"/>
  <c r="Y63" i="11"/>
  <c r="Y18" i="13" l="1"/>
  <c r="Y9" i="14"/>
  <c r="Y11" i="14" s="1"/>
  <c r="Y50" i="11"/>
  <c r="Y26" i="13"/>
  <c r="X55" i="13"/>
  <c r="X57" i="13" s="1"/>
  <c r="Z20" i="12"/>
  <c r="Z21" i="11" s="1"/>
  <c r="Y56" i="13" l="1"/>
  <c r="Y54" i="11"/>
  <c r="Y27" i="14"/>
  <c r="Y13" i="14"/>
  <c r="Z39" i="11"/>
  <c r="Z22" i="11"/>
  <c r="Z68" i="11" l="1"/>
  <c r="Z23" i="11" s="1"/>
  <c r="Z41" i="11" s="1"/>
  <c r="Z51" i="13" s="1"/>
  <c r="Z18" i="12" s="1"/>
  <c r="Z69" i="11"/>
  <c r="Z70" i="11" s="1"/>
  <c r="AA67" i="11" s="1"/>
  <c r="Z21" i="13"/>
  <c r="Z49" i="11"/>
  <c r="Y65" i="11"/>
  <c r="Z27" i="13" l="1"/>
  <c r="Z25" i="11"/>
  <c r="Z40" i="11"/>
  <c r="Z21" i="12"/>
  <c r="AA17" i="12" l="1"/>
  <c r="Z57" i="11"/>
  <c r="Z28" i="13" s="1"/>
  <c r="Z22" i="13"/>
  <c r="Z23" i="13" s="1"/>
  <c r="Z44" i="11"/>
  <c r="Z27" i="11"/>
  <c r="Z62" i="11"/>
  <c r="Z9" i="14" l="1"/>
  <c r="Z11" i="14" s="1"/>
  <c r="Z18" i="13"/>
  <c r="Z50" i="11"/>
  <c r="Z63" i="11"/>
  <c r="Z26" i="13"/>
  <c r="Y55" i="13"/>
  <c r="Y57" i="13" s="1"/>
  <c r="AA20" i="12"/>
  <c r="AA21" i="11" s="1"/>
  <c r="Z56" i="13" l="1"/>
  <c r="Z54" i="11"/>
  <c r="AA39" i="11"/>
  <c r="AA22" i="11"/>
  <c r="Z27" i="14"/>
  <c r="Z13" i="14"/>
  <c r="AA68" i="11" l="1"/>
  <c r="AA23" i="11" s="1"/>
  <c r="AA41" i="11" s="1"/>
  <c r="AA51" i="13" s="1"/>
  <c r="AA18" i="12" s="1"/>
  <c r="AA69" i="11"/>
  <c r="AA70" i="11" s="1"/>
  <c r="AB67" i="11" s="1"/>
  <c r="AA21" i="13"/>
  <c r="Z65" i="11"/>
  <c r="AA49" i="11"/>
  <c r="AA27" i="13" l="1"/>
  <c r="AA25" i="11"/>
  <c r="AA40" i="11"/>
  <c r="AA22" i="13" s="1"/>
  <c r="AA23" i="13" s="1"/>
  <c r="AA21" i="12"/>
  <c r="Z55" i="13" l="1"/>
  <c r="Z57" i="13" s="1"/>
  <c r="AA26" i="13"/>
  <c r="AA57" i="11"/>
  <c r="AA28" i="13" s="1"/>
  <c r="AB17" i="12"/>
  <c r="AA27" i="11"/>
  <c r="AA62" i="11"/>
  <c r="AA44" i="11"/>
  <c r="AA9" i="14" l="1"/>
  <c r="AA11" i="14" s="1"/>
  <c r="AA18" i="13"/>
  <c r="AA50" i="11"/>
  <c r="AA63" i="11"/>
  <c r="AB20" i="12"/>
  <c r="AB21" i="11" s="1"/>
  <c r="AB39" i="11" l="1"/>
  <c r="AB22" i="11"/>
  <c r="AA56" i="13"/>
  <c r="AA54" i="11"/>
  <c r="AA27" i="14"/>
  <c r="AA13" i="14"/>
  <c r="AB69" i="11" l="1"/>
  <c r="AB70" i="11" s="1"/>
  <c r="AC67" i="11" s="1"/>
  <c r="AB68" i="11"/>
  <c r="AB23" i="11" s="1"/>
  <c r="AB41" i="11" s="1"/>
  <c r="AB51" i="13" s="1"/>
  <c r="AB18" i="12" s="1"/>
  <c r="AB21" i="13"/>
  <c r="AA65" i="11"/>
  <c r="AB49" i="11"/>
  <c r="AB25" i="11" l="1"/>
  <c r="AB27" i="11"/>
  <c r="AB62" i="11"/>
  <c r="AB40" i="11"/>
  <c r="AB22" i="13" s="1"/>
  <c r="AB23" i="13" s="1"/>
  <c r="AB21" i="12"/>
  <c r="AB44" i="11"/>
  <c r="AB27" i="13"/>
  <c r="AA55" i="13" l="1"/>
  <c r="AA57" i="13" s="1"/>
  <c r="AB26" i="13"/>
  <c r="AB9" i="14"/>
  <c r="AB11" i="14" s="1"/>
  <c r="AB18" i="13"/>
  <c r="AB50" i="11"/>
  <c r="AB57" i="11"/>
  <c r="AB28" i="13" s="1"/>
  <c r="AC17" i="12"/>
  <c r="AB63" i="11"/>
  <c r="AB27" i="14" l="1"/>
  <c r="AB13" i="14"/>
  <c r="AC20" i="12"/>
  <c r="AC21" i="11" s="1"/>
  <c r="AB56" i="13"/>
  <c r="AB54" i="11"/>
  <c r="AB65" i="11" l="1"/>
  <c r="AC49" i="11"/>
  <c r="AC39" i="11"/>
  <c r="AC22" i="11"/>
  <c r="AC68" i="11" l="1"/>
  <c r="AC23" i="11" s="1"/>
  <c r="AC41" i="11" s="1"/>
  <c r="AC51" i="13" s="1"/>
  <c r="AC18" i="12" s="1"/>
  <c r="AC69" i="11"/>
  <c r="AC70" i="11" s="1"/>
  <c r="AD67" i="11" s="1"/>
  <c r="AC21" i="13"/>
  <c r="AC25" i="11" l="1"/>
  <c r="AC27" i="11" s="1"/>
  <c r="AC27" i="13"/>
  <c r="AC62" i="11"/>
  <c r="AC40" i="11"/>
  <c r="AC21" i="12"/>
  <c r="AD17" i="12" l="1"/>
  <c r="AC57" i="11"/>
  <c r="AC28" i="13" s="1"/>
  <c r="AC22" i="13"/>
  <c r="AC23" i="13" s="1"/>
  <c r="AC44" i="11"/>
  <c r="AC63" i="11"/>
  <c r="AC9" i="14" l="1"/>
  <c r="AC11" i="14" s="1"/>
  <c r="AC18" i="13"/>
  <c r="I45" i="11"/>
  <c r="B37" i="13" s="1"/>
  <c r="AC50" i="11"/>
  <c r="AB55" i="13"/>
  <c r="AB57" i="13" s="1"/>
  <c r="AC26" i="13"/>
  <c r="AD20" i="12"/>
  <c r="AD21" i="11" s="1"/>
  <c r="AD39" i="11" l="1"/>
  <c r="AD22" i="11"/>
  <c r="AC56" i="13"/>
  <c r="AC54" i="11"/>
  <c r="AC27" i="14"/>
  <c r="AC13" i="14"/>
  <c r="AD49" i="11" l="1"/>
  <c r="AC65" i="11"/>
  <c r="AD68" i="11"/>
  <c r="AD23" i="11" s="1"/>
  <c r="AD41" i="11" s="1"/>
  <c r="AD51" i="13" s="1"/>
  <c r="AD18" i="12" s="1"/>
  <c r="AD69" i="11"/>
  <c r="AD70" i="11" s="1"/>
  <c r="AE67" i="11" s="1"/>
  <c r="AD21" i="13"/>
  <c r="AD25" i="11" l="1"/>
  <c r="AD62" i="11" s="1"/>
  <c r="AD27" i="13"/>
  <c r="AD27" i="11"/>
  <c r="AD40" i="11"/>
  <c r="AD21" i="12"/>
  <c r="AE17" i="12" l="1"/>
  <c r="AD57" i="11"/>
  <c r="AD28" i="13" s="1"/>
  <c r="AD22" i="13"/>
  <c r="AD23" i="13" s="1"/>
  <c r="AD44" i="11"/>
  <c r="AD63" i="11"/>
  <c r="AD9" i="14" l="1"/>
  <c r="AD11" i="14" s="1"/>
  <c r="AD18" i="13"/>
  <c r="AD50" i="11"/>
  <c r="AC55" i="13"/>
  <c r="AC57" i="13" s="1"/>
  <c r="AD26" i="13"/>
  <c r="AE20" i="12"/>
  <c r="AE21" i="11" s="1"/>
  <c r="AD54" i="11" l="1"/>
  <c r="AD56" i="13"/>
  <c r="AD27" i="14"/>
  <c r="AD13" i="14"/>
  <c r="AE39" i="11"/>
  <c r="AE22" i="11"/>
  <c r="AE69" i="11" l="1"/>
  <c r="AE70" i="11" s="1"/>
  <c r="AF67" i="11" s="1"/>
  <c r="AE68" i="11"/>
  <c r="AE23" i="11" s="1"/>
  <c r="AE41" i="11" s="1"/>
  <c r="AE51" i="13" s="1"/>
  <c r="AE18" i="12" s="1"/>
  <c r="AE21" i="13"/>
  <c r="AD65" i="11"/>
  <c r="AE49" i="11"/>
  <c r="AE27" i="13" l="1"/>
  <c r="AE25" i="11"/>
  <c r="AE40" i="11"/>
  <c r="AE22" i="13" s="1"/>
  <c r="AE23" i="13" s="1"/>
  <c r="AE21" i="12"/>
  <c r="AE26" i="13" l="1"/>
  <c r="AD55" i="13"/>
  <c r="AD57" i="13" s="1"/>
  <c r="AE57" i="11"/>
  <c r="AE28" i="13" s="1"/>
  <c r="AF17" i="12"/>
  <c r="AE44" i="11"/>
  <c r="AE27" i="11"/>
  <c r="AE62" i="11"/>
  <c r="AF20" i="12" l="1"/>
  <c r="AF21" i="11" s="1"/>
  <c r="AE9" i="14"/>
  <c r="AE11" i="14" s="1"/>
  <c r="AE18" i="13"/>
  <c r="AE50" i="11"/>
  <c r="AE63" i="11"/>
  <c r="AE56" i="13" l="1"/>
  <c r="AE54" i="11"/>
  <c r="AE27" i="14"/>
  <c r="AE13" i="14"/>
  <c r="AF39" i="11"/>
  <c r="AF22" i="11"/>
  <c r="AF69" i="11" l="1"/>
  <c r="AF70" i="11" s="1"/>
  <c r="AG67" i="11" s="1"/>
  <c r="AF68" i="11"/>
  <c r="AF23" i="11" s="1"/>
  <c r="AF41" i="11" s="1"/>
  <c r="AF51" i="13" s="1"/>
  <c r="AF18" i="12" s="1"/>
  <c r="AF21" i="13"/>
  <c r="AE65" i="11"/>
  <c r="AF49" i="11"/>
  <c r="AF27" i="13" l="1"/>
  <c r="AF40" i="11"/>
  <c r="AF21" i="12"/>
  <c r="AF25" i="11"/>
  <c r="AF22" i="13" l="1"/>
  <c r="AF23" i="13" s="1"/>
  <c r="AF44" i="11"/>
  <c r="AF27" i="11"/>
  <c r="AF62" i="11"/>
  <c r="AG17" i="12"/>
  <c r="AF57" i="11"/>
  <c r="AF28" i="13" s="1"/>
  <c r="AF63" i="11" l="1"/>
  <c r="AF18" i="13"/>
  <c r="AF9" i="14"/>
  <c r="AF11" i="14" s="1"/>
  <c r="AF50" i="11"/>
  <c r="AE55" i="13"/>
  <c r="AE57" i="13" s="1"/>
  <c r="AF26" i="13"/>
  <c r="AG20" i="12"/>
  <c r="AG21" i="11" s="1"/>
  <c r="AG39" i="11" l="1"/>
  <c r="AG22" i="11"/>
  <c r="AF56" i="13"/>
  <c r="AF54" i="11"/>
  <c r="AF27" i="14"/>
  <c r="AF13" i="14"/>
  <c r="AG68" i="11" l="1"/>
  <c r="AG23" i="11" s="1"/>
  <c r="AG41" i="11" s="1"/>
  <c r="AG51" i="13" s="1"/>
  <c r="AG18" i="12" s="1"/>
  <c r="AG69" i="11"/>
  <c r="AG70" i="11" s="1"/>
  <c r="AH67" i="11" s="1"/>
  <c r="AG21" i="13"/>
  <c r="AG49" i="11"/>
  <c r="AF65" i="11"/>
  <c r="AG25" i="11" l="1"/>
  <c r="AG27" i="11"/>
  <c r="AG62" i="11"/>
  <c r="AG40" i="11"/>
  <c r="AG21" i="12"/>
  <c r="AG27" i="13"/>
  <c r="AH17" i="12" l="1"/>
  <c r="AG57" i="11"/>
  <c r="AG28" i="13" s="1"/>
  <c r="AG22" i="13"/>
  <c r="AG23" i="13" s="1"/>
  <c r="AG44" i="11"/>
  <c r="AG63" i="11"/>
  <c r="AF55" i="13" l="1"/>
  <c r="AF57" i="13" s="1"/>
  <c r="AG26" i="13"/>
  <c r="AH20" i="12"/>
  <c r="AH21" i="11" s="1"/>
  <c r="AG18" i="13"/>
  <c r="AG9" i="14"/>
  <c r="AG11" i="14" s="1"/>
  <c r="AG50" i="11"/>
  <c r="AG56" i="13" l="1"/>
  <c r="AG54" i="11"/>
  <c r="AG27" i="14"/>
  <c r="AG13" i="14"/>
  <c r="AH39" i="11"/>
  <c r="AH22" i="11"/>
  <c r="AH69" i="11" l="1"/>
  <c r="AH70" i="11" s="1"/>
  <c r="AI67" i="11" s="1"/>
  <c r="AH68" i="11"/>
  <c r="AH23" i="11" s="1"/>
  <c r="AH41" i="11" s="1"/>
  <c r="AH51" i="13" s="1"/>
  <c r="AH18" i="12" s="1"/>
  <c r="AH21" i="13"/>
  <c r="AH49" i="11"/>
  <c r="AG65" i="11"/>
  <c r="AH25" i="11" l="1"/>
  <c r="AH62" i="11" s="1"/>
  <c r="AH27" i="13"/>
  <c r="AH40" i="11"/>
  <c r="AH21" i="12"/>
  <c r="AH27" i="11" l="1"/>
  <c r="AI17" i="12"/>
  <c r="AH57" i="11"/>
  <c r="AH28" i="13" s="1"/>
  <c r="AH22" i="13"/>
  <c r="AH23" i="13" s="1"/>
  <c r="AH44" i="11"/>
  <c r="AH63" i="11"/>
  <c r="AH9" i="14" l="1"/>
  <c r="AH11" i="14" s="1"/>
  <c r="AH18" i="13"/>
  <c r="AH50" i="11"/>
  <c r="AH26" i="13"/>
  <c r="AG55" i="13"/>
  <c r="AG57" i="13" s="1"/>
  <c r="AI20" i="12"/>
  <c r="AI21" i="11" s="1"/>
  <c r="AH56" i="13" l="1"/>
  <c r="AH54" i="11"/>
  <c r="AI39" i="11"/>
  <c r="AI22" i="11"/>
  <c r="AH27" i="14"/>
  <c r="AH13" i="14"/>
  <c r="AI49" i="11" l="1"/>
  <c r="AH65" i="11"/>
  <c r="AI68" i="11"/>
  <c r="AI23" i="11" s="1"/>
  <c r="AI41" i="11" s="1"/>
  <c r="AI51" i="13" s="1"/>
  <c r="AI18" i="12" s="1"/>
  <c r="AI69" i="11"/>
  <c r="AI70" i="11" s="1"/>
  <c r="AJ67" i="11" s="1"/>
  <c r="AI21" i="13"/>
  <c r="AI25" i="11" l="1"/>
  <c r="AI62" i="11" s="1"/>
  <c r="AI27" i="13"/>
  <c r="AI40" i="11"/>
  <c r="AI21" i="12"/>
  <c r="AI27" i="11" l="1"/>
  <c r="AJ17" i="12"/>
  <c r="AI57" i="11"/>
  <c r="AI28" i="13" s="1"/>
  <c r="AI22" i="13"/>
  <c r="AI23" i="13" s="1"/>
  <c r="AI44" i="11"/>
  <c r="AI63" i="11"/>
  <c r="AI9" i="14" l="1"/>
  <c r="AI11" i="14" s="1"/>
  <c r="AI18" i="13"/>
  <c r="AI50" i="11"/>
  <c r="AH55" i="13"/>
  <c r="AH57" i="13" s="1"/>
  <c r="AI26" i="13"/>
  <c r="AJ20" i="12"/>
  <c r="AJ21" i="11" s="1"/>
  <c r="AI56" i="13" l="1"/>
  <c r="AI54" i="11"/>
  <c r="AI27" i="14"/>
  <c r="AI13" i="14"/>
  <c r="AJ39" i="11"/>
  <c r="AJ22" i="11"/>
  <c r="AJ49" i="11" l="1"/>
  <c r="AI65" i="11"/>
  <c r="AJ68" i="11"/>
  <c r="AJ23" i="11" s="1"/>
  <c r="AJ41" i="11" s="1"/>
  <c r="AJ51" i="13" s="1"/>
  <c r="AJ18" i="12" s="1"/>
  <c r="AJ69" i="11"/>
  <c r="AJ70" i="11" s="1"/>
  <c r="AK67" i="11" s="1"/>
  <c r="AJ21" i="13"/>
  <c r="AJ40" i="11" l="1"/>
  <c r="AJ21" i="12"/>
  <c r="AJ27" i="13"/>
  <c r="AJ25" i="11"/>
  <c r="AJ27" i="11" l="1"/>
  <c r="AJ62" i="11"/>
  <c r="AJ57" i="11"/>
  <c r="AJ28" i="13" s="1"/>
  <c r="AK17" i="12"/>
  <c r="AJ22" i="13"/>
  <c r="AJ23" i="13" s="1"/>
  <c r="AJ44" i="11"/>
  <c r="AJ9" i="14" l="1"/>
  <c r="AJ11" i="14" s="1"/>
  <c r="AJ18" i="13"/>
  <c r="AJ50" i="11"/>
  <c r="AI55" i="13"/>
  <c r="AI57" i="13" s="1"/>
  <c r="AJ26" i="13"/>
  <c r="AK20" i="12"/>
  <c r="AK21" i="11" s="1"/>
  <c r="AJ63" i="11"/>
  <c r="AJ56" i="13" l="1"/>
  <c r="AJ54" i="11"/>
  <c r="AK39" i="11"/>
  <c r="AK22" i="11"/>
  <c r="AJ27" i="14"/>
  <c r="AJ13" i="14"/>
  <c r="AK21" i="13" l="1"/>
  <c r="AJ65" i="11"/>
  <c r="AK49" i="11"/>
  <c r="AK69" i="11"/>
  <c r="AK70" i="11" s="1"/>
  <c r="AL67" i="11" s="1"/>
  <c r="AK68" i="11"/>
  <c r="AK23" i="11" s="1"/>
  <c r="AK41" i="11" s="1"/>
  <c r="AK51" i="13" s="1"/>
  <c r="AK18" i="12" s="1"/>
  <c r="AK25" i="11" l="1"/>
  <c r="AK27" i="11" s="1"/>
  <c r="AK27" i="13"/>
  <c r="AK40" i="11"/>
  <c r="AK21" i="12"/>
  <c r="AK62" i="11" l="1"/>
  <c r="AK57" i="11"/>
  <c r="AK28" i="13" s="1"/>
  <c r="AL17" i="12"/>
  <c r="AK22" i="13"/>
  <c r="AK23" i="13" s="1"/>
  <c r="AK44" i="11"/>
  <c r="AK63" i="11"/>
  <c r="AJ55" i="13" l="1"/>
  <c r="AJ57" i="13" s="1"/>
  <c r="AK26" i="13"/>
  <c r="AK9" i="14"/>
  <c r="AK11" i="14" s="1"/>
  <c r="AK18" i="13"/>
  <c r="AK50" i="11"/>
  <c r="AL20" i="12"/>
  <c r="AL21" i="11" s="1"/>
  <c r="AK56" i="13" l="1"/>
  <c r="AK54" i="11"/>
  <c r="AL39" i="11"/>
  <c r="AL22" i="11"/>
  <c r="AK27" i="14"/>
  <c r="AK13" i="14"/>
  <c r="AL68" i="11" l="1"/>
  <c r="AL23" i="11" s="1"/>
  <c r="AL41" i="11" s="1"/>
  <c r="AL51" i="13" s="1"/>
  <c r="AL18" i="12" s="1"/>
  <c r="AL69" i="11"/>
  <c r="AL70" i="11" s="1"/>
  <c r="AM67" i="11" s="1"/>
  <c r="AL21" i="13"/>
  <c r="AL49" i="11"/>
  <c r="AK65" i="11"/>
  <c r="AL25" i="11" l="1"/>
  <c r="AL62" i="11" s="1"/>
  <c r="AL27" i="13"/>
  <c r="AL27" i="11"/>
  <c r="AL40" i="11"/>
  <c r="AL21" i="12"/>
  <c r="AL63" i="11" l="1"/>
  <c r="AM17" i="12"/>
  <c r="AL57" i="11"/>
  <c r="AL28" i="13" s="1"/>
  <c r="AL22" i="13"/>
  <c r="AL23" i="13" s="1"/>
  <c r="AL44" i="11"/>
  <c r="AL9" i="14" l="1"/>
  <c r="AL11" i="14" s="1"/>
  <c r="AL18" i="13"/>
  <c r="AL50" i="11"/>
  <c r="AK55" i="13"/>
  <c r="AK57" i="13" s="1"/>
  <c r="AL26" i="13"/>
  <c r="AM20" i="12"/>
  <c r="AM21" i="11" s="1"/>
  <c r="AM39" i="11" l="1"/>
  <c r="AM22" i="11"/>
  <c r="AL54" i="11"/>
  <c r="AL56" i="13"/>
  <c r="AL27" i="14"/>
  <c r="AL13" i="14"/>
  <c r="AL65" i="11" l="1"/>
  <c r="AM49" i="11"/>
  <c r="AM69" i="11"/>
  <c r="AM70" i="11" s="1"/>
  <c r="AN67" i="11" s="1"/>
  <c r="AM68" i="11"/>
  <c r="AM23" i="11" s="1"/>
  <c r="AM41" i="11" s="1"/>
  <c r="AM51" i="13" s="1"/>
  <c r="AM18" i="12" s="1"/>
  <c r="AM21" i="13"/>
  <c r="AM40" i="11" l="1"/>
  <c r="AM22" i="13" s="1"/>
  <c r="AM21" i="12"/>
  <c r="AM25" i="11"/>
  <c r="AM44" i="11"/>
  <c r="AM27" i="13"/>
  <c r="AM23" i="13"/>
  <c r="AM9" i="14" l="1"/>
  <c r="AM11" i="14" s="1"/>
  <c r="AM18" i="13"/>
  <c r="AM50" i="11"/>
  <c r="AM26" i="13"/>
  <c r="AL55" i="13"/>
  <c r="AL57" i="13" s="1"/>
  <c r="AM27" i="11"/>
  <c r="AM62" i="11"/>
  <c r="AN17" i="12"/>
  <c r="AM57" i="11"/>
  <c r="AM28" i="13" s="1"/>
  <c r="AM56" i="13" l="1"/>
  <c r="AM54" i="11"/>
  <c r="AM27" i="14"/>
  <c r="AM13" i="14"/>
  <c r="AN20" i="12"/>
  <c r="AN21" i="11" s="1"/>
  <c r="AM63" i="11"/>
  <c r="AN39" i="11" l="1"/>
  <c r="AN22" i="11"/>
  <c r="AM65" i="11"/>
  <c r="AN49" i="11"/>
  <c r="AN69" i="11" l="1"/>
  <c r="AN70" i="11" s="1"/>
  <c r="AO67" i="11" s="1"/>
  <c r="AN68" i="11"/>
  <c r="AN23" i="11" s="1"/>
  <c r="AN41" i="11" s="1"/>
  <c r="AN51" i="13" s="1"/>
  <c r="AN18" i="12" s="1"/>
  <c r="AN21" i="13"/>
  <c r="AN27" i="13" l="1"/>
  <c r="AN40" i="11"/>
  <c r="AN21" i="12"/>
  <c r="AN25" i="11"/>
  <c r="AN22" i="13" l="1"/>
  <c r="AN23" i="13" s="1"/>
  <c r="AN44" i="11"/>
  <c r="AN27" i="11"/>
  <c r="AN62" i="11"/>
  <c r="AN57" i="11"/>
  <c r="AN28" i="13" s="1"/>
  <c r="AO17" i="12"/>
  <c r="AN63" i="11" l="1"/>
  <c r="AN9" i="14"/>
  <c r="AN11" i="14" s="1"/>
  <c r="AN18" i="13"/>
  <c r="AN50" i="11"/>
  <c r="AM55" i="13"/>
  <c r="AM57" i="13" s="1"/>
  <c r="AN26" i="13"/>
  <c r="AO20" i="12"/>
  <c r="AO21" i="11" s="1"/>
  <c r="AN56" i="13" l="1"/>
  <c r="AN54" i="11"/>
  <c r="AO39" i="11"/>
  <c r="AO22" i="11"/>
  <c r="AN27" i="14"/>
  <c r="AN13" i="14"/>
  <c r="AO68" i="11" l="1"/>
  <c r="AO23" i="11" s="1"/>
  <c r="AO41" i="11" s="1"/>
  <c r="AO51" i="13" s="1"/>
  <c r="AO18" i="12" s="1"/>
  <c r="AO69" i="11"/>
  <c r="AO70" i="11" s="1"/>
  <c r="AP67" i="11" s="1"/>
  <c r="AO21" i="13"/>
  <c r="AN65" i="11"/>
  <c r="AO49" i="11"/>
  <c r="AO25" i="11" l="1"/>
  <c r="AO27" i="13"/>
  <c r="AO27" i="11"/>
  <c r="AO62" i="11"/>
  <c r="AO40" i="11"/>
  <c r="AO21" i="12"/>
  <c r="AO57" i="11" l="1"/>
  <c r="AO28" i="13" s="1"/>
  <c r="AP17" i="12"/>
  <c r="AO22" i="13"/>
  <c r="AO23" i="13" s="1"/>
  <c r="AO44" i="11"/>
  <c r="AO63" i="11"/>
  <c r="AO18" i="13" l="1"/>
  <c r="AO9" i="14"/>
  <c r="AO11" i="14" s="1"/>
  <c r="AO50" i="11"/>
  <c r="AN55" i="13"/>
  <c r="AN57" i="13" s="1"/>
  <c r="AO26" i="13"/>
  <c r="AP20" i="12"/>
  <c r="AP21" i="11" s="1"/>
  <c r="AP18" i="12"/>
  <c r="AP40" i="11" s="1"/>
  <c r="AP22" i="13" s="1"/>
  <c r="AO27" i="14" l="1"/>
  <c r="AO13" i="14"/>
  <c r="AP21" i="12"/>
  <c r="AP39" i="11"/>
  <c r="AP22" i="11"/>
  <c r="AO56" i="13"/>
  <c r="AO54" i="11"/>
  <c r="AO65" i="11" l="1"/>
  <c r="AP49" i="11"/>
  <c r="AP69" i="11"/>
  <c r="AP70" i="11" s="1"/>
  <c r="AQ67" i="11" s="1"/>
  <c r="AP68" i="11"/>
  <c r="AP23" i="11" s="1"/>
  <c r="AP41" i="11" s="1"/>
  <c r="AP51" i="13" s="1"/>
  <c r="AP21" i="13"/>
  <c r="AQ17" i="12"/>
  <c r="AP57" i="11"/>
  <c r="AP28" i="13" s="1"/>
  <c r="AP44" i="11" l="1"/>
  <c r="AP9" i="14"/>
  <c r="AP11" i="14" s="1"/>
  <c r="AP18" i="13"/>
  <c r="AP50" i="11"/>
  <c r="AP23" i="13"/>
  <c r="AP27" i="13"/>
  <c r="AP25" i="11"/>
  <c r="AQ20" i="12"/>
  <c r="AQ21" i="11" s="1"/>
  <c r="AP27" i="11" l="1"/>
  <c r="AP62" i="11"/>
  <c r="AO55" i="13"/>
  <c r="AO57" i="13" s="1"/>
  <c r="AP26" i="13"/>
  <c r="AP56" i="13"/>
  <c r="AP54" i="11"/>
  <c r="AQ39" i="11"/>
  <c r="AQ22" i="11"/>
  <c r="AP27" i="14"/>
  <c r="AP13" i="14"/>
  <c r="AQ49" i="11" l="1"/>
  <c r="AQ21" i="13"/>
  <c r="AP63" i="11"/>
  <c r="AP65" i="11" s="1"/>
  <c r="AQ69" i="11"/>
  <c r="AQ70" i="11" s="1"/>
  <c r="AQ68" i="11"/>
  <c r="AQ23" i="11" s="1"/>
  <c r="AQ41" i="11" s="1"/>
  <c r="AQ51" i="13" s="1"/>
  <c r="AQ18" i="12" s="1"/>
  <c r="AQ27" i="13" l="1"/>
  <c r="AQ40" i="11"/>
  <c r="AQ21" i="12"/>
  <c r="AQ25" i="11"/>
  <c r="AQ27" i="11" l="1"/>
  <c r="AQ62" i="11"/>
  <c r="AQ63" i="11" s="1"/>
  <c r="AQ57" i="11"/>
  <c r="AQ28" i="13" s="1"/>
  <c r="E31" i="1"/>
  <c r="D31" i="1"/>
  <c r="AQ22" i="13"/>
  <c r="AQ23" i="13" s="1"/>
  <c r="AQ44" i="11"/>
  <c r="AP55" i="13" l="1"/>
  <c r="AP57" i="13" s="1"/>
  <c r="AQ26" i="13"/>
  <c r="AQ9" i="14"/>
  <c r="AQ11" i="14" s="1"/>
  <c r="AQ18" i="13"/>
  <c r="AQ50" i="11"/>
  <c r="AQ56" i="13" l="1"/>
  <c r="AQ57" i="13" s="1"/>
  <c r="AQ54" i="11"/>
  <c r="AQ65" i="11" s="1"/>
  <c r="D28" i="1" s="1" a="1"/>
  <c r="D28" i="1" s="1"/>
  <c r="AQ27" i="14"/>
  <c r="D27" i="14" s="1"/>
  <c r="D25" i="1" s="1"/>
  <c r="C16" i="14"/>
  <c r="D22" i="1" s="1"/>
  <c r="AQ13" i="14"/>
  <c r="E29" i="1"/>
  <c r="D29" i="1"/>
  <c r="D30" i="1"/>
  <c r="E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6" authorId="0" shapeId="0" xr:uid="{00000000-0006-0000-0200-000001000000}">
      <text>
        <r>
          <rPr>
            <sz val="10"/>
            <color theme="1"/>
            <rFont val="Arial"/>
            <family val="2"/>
            <charset val="1"/>
          </rPr>
          <t>Re-fixed: the sheet's scenario columns had shifted to G/H/I (from an earlier C/D/E layout) and the header row picked up a stray echo formula in column E ('=E4') that duplicated the active-scenario text, causing MATCH to always resolve to that E column instead of the real Base case/Scenario 2/3 columns -- silently returning the wrong (stale) value every time regardless of which scenario was selected. Rewired to reference G:I directly for both INDEX and MATCH.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12" authorId="0" shapeId="0" xr:uid="{00000000-0006-0000-0500-000001000000}">
      <text>
        <r>
          <rPr>
            <sz val="10"/>
            <color theme="1"/>
            <rFont val="Arial"/>
            <family val="2"/>
            <charset val="1"/>
          </rPr>
          <t>Added: identical to row 7 but without the gas-price-shock term, so there is always an unshocked reference cost available to anchor electricity price to -- see Ops.!row36 and Elec prc.!row7. This is what makes a gas price shock actually compress/widen the spark spread instead of being fully passed through to electricity price.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25" authorId="0" shapeId="0" xr:uid="{00000000-0006-0000-0D00-000001000000}">
      <text>
        <r>
          <rPr>
            <sz val="10"/>
            <color theme="1"/>
            <rFont val="Arial"/>
            <family val="2"/>
            <charset val="1"/>
          </rPr>
          <t>Fixed: was '=D23-Ass.!$G$13', double-counting capex. The unlevered FCF stream (3 Stats.!row72) already nets construction-period capex as negative cash flows in 2027-2029, so the PV of that full stream (D23) IS the Enterprise NPV already -- no separate subtraction needed. This was my own bug from the earlier Val. tab rebuild, caught while sanity-checking against the newly-positive base case.</t>
        </r>
      </text>
    </comment>
  </commentList>
</comments>
</file>

<file path=xl/sharedStrings.xml><?xml version="1.0" encoding="utf-8"?>
<sst xmlns="http://schemas.openxmlformats.org/spreadsheetml/2006/main" count="429" uniqueCount="337">
  <si>
    <t>500MW Merchant Gas CCGT — Financial Model</t>
  </si>
  <si>
    <t>Project finance model: construction, debt sculpting, three-statement, valuation</t>
  </si>
  <si>
    <t>Purpose &amp; how to use this workbook</t>
  </si>
  <si>
    <t>What this model is. A project-finance model for a 500MW merchant gas CCGT, built to accompany the research article "Neither gas nor renewables retains durable pricing power in European electricity markets." It exists to test, with real numbers, whether a modern efficient gas plant can be financed under the pricing dynamics the article describes - not to serve as a standalone investment appraisal for any real project.</t>
  </si>
  <si>
    <t>How the workbook is organized. Inputs live on Ass. and Scen. &amp; Sensi. (one place, feeding everything else by reference). Prices are imported from the Interaction Model engine on IM Price Import, then read by Gas prc. and Elec prc. Const. through Val. are the calculation engine - dispatch, revenue, the three-statement build, debt sculpting, and valuation, in that order. Scen. &amp; Sensi. also holds the sensitivity tables. See the sheet guide below for what each tab actually contains.</t>
  </si>
  <si>
    <t>How to read the headline numbers. The figures below depend materially on two structural choices: whether the plant is financed as newly under construction (phased capex draws, capitalized interest) or as already operating (Ass.!D11), and on the cost/degradation assumptions (see "Deliberate simplifications"). Treat any single IRR or NPV as conditional on those choices, not as a fixed verdict.</t>
  </si>
  <si>
    <t>../../../../../../../Downloads/clean.xlsx</t>
  </si>
  <si>
    <t>What to trust first. The "Model health checks" below are live formulas, not claims - they re-verify balance-sheet integrity, covenant compliance, and debt repayment every time the workbook recalculates. If any show FAIL, nothing else on this page should be relied on until that is resolved.</t>
  </si>
  <si>
    <t>Key assumptions</t>
  </si>
  <si>
    <t>Jump to:</t>
  </si>
  <si>
    <t>What it contains</t>
  </si>
  <si>
    <t>Capacity</t>
  </si>
  <si>
    <t>Ass.</t>
  </si>
  <si>
    <t>All model inputs in one place - capacity, financing terms, cost/degradation assumptions, and the toggle cells for gas price, gas share, and CO2 shocks.</t>
  </si>
  <si>
    <t>Capex/MW</t>
  </si>
  <si>
    <t>Gas prc.</t>
  </si>
  <si>
    <t>Reads the live TTF and EUA price path (from IM Price Import) and computes the plant's own all-in SRMC.</t>
  </si>
  <si>
    <t>Gearing (debt/equity)</t>
  </si>
  <si>
    <t>Elec prc.</t>
  </si>
  <si>
    <t>The market clearing price the plant actually sells into, by state (gas-sets-price / residual / negative).</t>
  </si>
  <si>
    <t>Tenor</t>
  </si>
  <si>
    <t>Const.</t>
  </si>
  <si>
    <t>Phased construction cost, timing, and the debt/equity draw schedule when the plant is modeled as newly built.</t>
  </si>
  <si>
    <t>DSCR covenant / sculpting target</t>
  </si>
  <si>
    <t>Ops.</t>
  </si>
  <si>
    <t>Dispatch logic - the plant only generates in hours where its own cost clears the market price - plus fuel and CO2 cost.</t>
  </si>
  <si>
    <t>Efficiency (nameplate)</t>
  </si>
  <si>
    <t>Rev.</t>
  </si>
  <si>
    <t>Revenue by price-state, built from Ops.'s dispatch volumes and Gas prc./Elec prc.'s prices.</t>
  </si>
  <si>
    <t>3 Stats.</t>
  </si>
  <si>
    <t>The three-statement build: income statement, cash flow, and balance sheet, including NOL carryforward.</t>
  </si>
  <si>
    <t>Maintenance reserve</t>
  </si>
  <si>
    <t>Financ.</t>
  </si>
  <si>
    <t>Debt draw, capitalized interest during construction, and the repayment schedule.</t>
  </si>
  <si>
    <t>Gear.</t>
  </si>
  <si>
    <t>DSCR sculpting, the DSRA reserve, and the maintenance reserve accrual.</t>
  </si>
  <si>
    <t>Headline outputs</t>
  </si>
  <si>
    <t>Val.</t>
  </si>
  <si>
    <t>Equity and enterprise valuation - IRR, NPV, and WACC - discounting the cash flows built upstream.</t>
  </si>
  <si>
    <t>Equity IRR</t>
  </si>
  <si>
    <t>Scen. &amp; Sensi.</t>
  </si>
  <si>
    <t>The six sensitivity tables (O&amp;M, efficiency, degradation, gas price, gas share, leverage) around the base case.</t>
  </si>
  <si>
    <t>WACC</t>
  </si>
  <si>
    <t>Graphs</t>
  </si>
  <si>
    <t>Chart output for the article and dashboard, built from the tabs above.</t>
  </si>
  <si>
    <t>Enterprise NPV</t>
  </si>
  <si>
    <t>Equity NPV</t>
  </si>
  <si>
    <t>Model health checks</t>
  </si>
  <si>
    <t>Balance sheet ties (Assets = Debt + Equity)</t>
  </si>
  <si>
    <t>DSCR never below covenant floor</t>
  </si>
  <si>
    <t>DSRA always fully funded</t>
  </si>
  <si>
    <t>Debt fully repaid by tenor end (not negative)</t>
  </si>
  <si>
    <t>EBITDA positive in every operating year</t>
  </si>
  <si>
    <t>Deliberate simplifications (not modeled)</t>
  </si>
  <si>
    <t>• Working capital: receivables/payables ('3 Stats.' rows 53, 58) are zero throughout — revenue and costs are assumed to convert to cash with no timing lag.</t>
  </si>
  <si>
    <t>• Distribution waterfall: cash accumulates on the balance sheet rather than being swept to equity once debt service and reserves are covered — there is no dividend policy or cash sweep.</t>
  </si>
  <si>
    <t>• Terminal value / decommissioning: the model ends at the final tenor year with no salvage value or decommissioning provision.</t>
  </si>
  <si>
    <t>• Gas, electricity, and CO2 prices are a live feed from the Interaction Model engine, not standalone assumptions - see IM Price Import for the base curve and the toggle mechanism (Ass.!M30-M33) that lets a single gas-price, gas-share, or CO2-price shock be tested without rebuilding the price path.</t>
  </si>
  <si>
    <t>Scenario Manager</t>
  </si>
  <si>
    <t>Active scenario:</t>
  </si>
  <si>
    <t>Base case</t>
  </si>
  <si>
    <t>Plant</t>
  </si>
  <si>
    <t>Capacity (MW)</t>
  </si>
  <si>
    <t>Assumption</t>
  </si>
  <si>
    <t>Selected scenario</t>
  </si>
  <si>
    <t>Scenario 2</t>
  </si>
  <si>
    <t>Scenario 3</t>
  </si>
  <si>
    <t>Efficiency</t>
  </si>
  <si>
    <t>Degradation</t>
  </si>
  <si>
    <t>Efficiency, nameplate (%)</t>
  </si>
  <si>
    <t>Degradation start date</t>
  </si>
  <si>
    <t>Degradation rate (%/yr)</t>
  </si>
  <si>
    <t>Construction</t>
  </si>
  <si>
    <t xml:space="preserve">Construction </t>
  </si>
  <si>
    <t>Construction / Already operative</t>
  </si>
  <si>
    <t>Const. Duration (months)</t>
  </si>
  <si>
    <t>Duration (months)</t>
  </si>
  <si>
    <t>Total const. cost</t>
  </si>
  <si>
    <t>Const. Start</t>
  </si>
  <si>
    <t>Const. Start date</t>
  </si>
  <si>
    <t>Total PPE Value</t>
  </si>
  <si>
    <t>Capex/MW (EUR)</t>
  </si>
  <si>
    <t>Capex / MW</t>
  </si>
  <si>
    <t>Gearing, debt (%)</t>
  </si>
  <si>
    <t>Gearing</t>
  </si>
  <si>
    <t>Total debt</t>
  </si>
  <si>
    <t>Debt margin (%)</t>
  </si>
  <si>
    <t>Debt</t>
  </si>
  <si>
    <t>Total equity</t>
  </si>
  <si>
    <t>Tenor (years)</t>
  </si>
  <si>
    <t>Equity</t>
  </si>
  <si>
    <t>DSRA target (months fwd debt service)</t>
  </si>
  <si>
    <t>Financing</t>
  </si>
  <si>
    <t>DSCR covenant / sculpting target (x)</t>
  </si>
  <si>
    <t>Debt margin</t>
  </si>
  <si>
    <t>ICR covenant (x)</t>
  </si>
  <si>
    <t>Euribor</t>
  </si>
  <si>
    <t>Shareholder rate / cost of equity (%)</t>
  </si>
  <si>
    <t>Fixed O&amp;M (EUR/MW/yr)</t>
  </si>
  <si>
    <t>DSRA</t>
  </si>
  <si>
    <t>Variable O&amp;M (EUR/MWh)</t>
  </si>
  <si>
    <t>Repayment start</t>
  </si>
  <si>
    <t>Maintenance reserve, overhaul cost (EUR)</t>
  </si>
  <si>
    <t>Covenants</t>
  </si>
  <si>
    <t>Overhaul interval (years)</t>
  </si>
  <si>
    <t>DSCR</t>
  </si>
  <si>
    <t>Tax rate (%)</t>
  </si>
  <si>
    <t>ICR</t>
  </si>
  <si>
    <t>Efficiency floor (% of nameplate)</t>
  </si>
  <si>
    <t>Contribution</t>
  </si>
  <si>
    <t>Shareholder rate</t>
  </si>
  <si>
    <t>IM price toggles (live → IM Price Import selected cols)</t>
  </si>
  <si>
    <t>Ops</t>
  </si>
  <si>
    <t>Gas price adjustment (%)</t>
  </si>
  <si>
    <t>fraction; −0.2 = −20% TTF</t>
  </si>
  <si>
    <t>Ops start date</t>
  </si>
  <si>
    <t>Gas share adjustment (pp)</t>
  </si>
  <si>
    <t>absolute share as fraction; +0.05 = +5pp to S_gas</t>
  </si>
  <si>
    <t>Fixed O&amp;M (year/MW)</t>
  </si>
  <si>
    <t>CO2 price adjustment (%)</t>
  </si>
  <si>
    <t>fraction on locked ICE EUA Dec curve (EUA_base); −0.2 = −20% EUA</t>
  </si>
  <si>
    <t>Variable O&amp;M (year/MWh)</t>
  </si>
  <si>
    <t>Pass-through factor β</t>
  </si>
  <si>
    <t>P_res_sel = P_res_base + β×(SRMC_sel−SRMC_base); engine implies β=1</t>
  </si>
  <si>
    <t>Admin</t>
  </si>
  <si>
    <t>Tax rate</t>
  </si>
  <si>
    <t>Useful life (years)</t>
  </si>
  <si>
    <t>Macro-economic</t>
  </si>
  <si>
    <t>CO2 / Gas (tCO2/MWh)</t>
  </si>
  <si>
    <t>Sensitivities</t>
  </si>
  <si>
    <t>Metric: cumulative net equity cash flow, summed 2027 through 2049 - the last year the base case itself stays cash-flow positive. Same fixed window applied to every scenario below. Base case: "Already operating" (Ass.!D11=0), Fixed O&amp;M = EUR 12,000/MW-yr, Ass.!M4 = "Base case".</t>
  </si>
  <si>
    <t>Fixed O&amp;M</t>
  </si>
  <si>
    <t>€10,000</t>
  </si>
  <si>
    <t>€11,000</t>
  </si>
  <si>
    <t>€12,000 (base)</t>
  </si>
  <si>
    <t>€13,500</t>
  </si>
  <si>
    <t>€15,000</t>
  </si>
  <si>
    <t>Cum. CF thru 2049 (EUR)</t>
  </si>
  <si>
    <t>Efficiency, nameplate</t>
  </si>
  <si>
    <t>61.00%</t>
  </si>
  <si>
    <t>63.00%</t>
  </si>
  <si>
    <t>65.00% (base)</t>
  </si>
  <si>
    <t>66.00%</t>
  </si>
  <si>
    <t>67.00%</t>
  </si>
  <si>
    <t>Degradation rate</t>
  </si>
  <si>
    <t>0.15%</t>
  </si>
  <si>
    <t>0.20%</t>
  </si>
  <si>
    <t>0.25% (base)</t>
  </si>
  <si>
    <t>0.35%</t>
  </si>
  <si>
    <t>0.50%</t>
  </si>
  <si>
    <t>Gas price shock</t>
  </si>
  <si>
    <t>-20%</t>
  </si>
  <si>
    <t>-10%</t>
  </si>
  <si>
    <t>+0% (base)</t>
  </si>
  <si>
    <t>+10%</t>
  </si>
  <si>
    <t>+20%</t>
  </si>
  <si>
    <t>Gas share shock (pp)</t>
  </si>
  <si>
    <t>Gas share shock</t>
  </si>
  <si>
    <t>-10pp</t>
  </si>
  <si>
    <t>-5pp</t>
  </si>
  <si>
    <t>+0pp (base)</t>
  </si>
  <si>
    <t>+5pp</t>
  </si>
  <si>
    <t>+10pp</t>
  </si>
  <si>
    <t>Leverage / gearing (forced D11=1)</t>
  </si>
  <si>
    <t>Forced Ass.!D11=1 ("Under construction") for this table only - different capital structure than the other five.</t>
  </si>
  <si>
    <t>Leverage / gearing</t>
  </si>
  <si>
    <t>40%</t>
  </si>
  <si>
    <t>50%</t>
  </si>
  <si>
    <t>60% (base)</t>
  </si>
  <si>
    <t>70%</t>
  </si>
  <si>
    <t>80%</t>
  </si>
  <si>
    <t>IM Price Import — single base import + live Ass. toggles (block switching retired)</t>
  </si>
  <si>
    <t>Scenario family</t>
  </si>
  <si>
    <t>single base import, live toggles</t>
  </si>
  <si>
    <t>Default scrubber</t>
  </si>
  <si>
    <t>{"demandGrowthScenario":"B","solarPct":100,"ttfAdjustmentPct":0,"windPct":100,"windYearType":"base"}</t>
  </si>
  <si>
    <t>Export timestamp</t>
  </si>
  <si>
    <t>2026-09-17T08:38:45Z</t>
  </si>
  <si>
    <t>Source</t>
  </si>
  <si>
    <t>IM engine aggregate (ttfAdj=0); EUA = ICE Endex Dec futures locked 17 Jul 2026 (eua_forward_curve.json) + 2%/yr beyond Dec-2032; P_res refreshed with EUA path</t>
  </si>
  <si>
    <t>Engine</t>
  </si>
  <si>
    <t>im_engine/scenarioEngine.js + computeAnnualStateAggregate</t>
  </si>
  <si>
    <t>η_ref / EUA mult</t>
  </si>
  <si>
    <t>Ass. toggles</t>
  </si>
  <si>
    <t>D51=gas price % | D52=gas share pp | D53=CO2 % | D54=β</t>
  </si>
  <si>
    <t>Note</t>
  </si>
  <si>
    <t>Base cols A–H frozen. Selected J–Q are live formulas. EUA_base is the locked Dec ladder (not a flat scalar).</t>
  </si>
  <si>
    <t>BASE IMPORT (frozen)</t>
  </si>
  <si>
    <t>SELECTED (live formulas)</t>
  </si>
  <si>
    <t>year</t>
  </si>
  <si>
    <t>TTF_base</t>
  </si>
  <si>
    <t>EUA_base</t>
  </si>
  <si>
    <t>SRMC_base</t>
  </si>
  <si>
    <t>P_res_base</t>
  </si>
  <si>
    <t>S_gas_base</t>
  </si>
  <si>
    <t>S_res_base</t>
  </si>
  <si>
    <t>S_neg_base</t>
  </si>
  <si>
    <t>TTF_sel</t>
  </si>
  <si>
    <t>EUA_sel</t>
  </si>
  <si>
    <t>SRMC_sel</t>
  </si>
  <si>
    <t>P_gas_sel</t>
  </si>
  <si>
    <t>P_res_sel</t>
  </si>
  <si>
    <t>S_gas_sel</t>
  </si>
  <si>
    <t>S_res_sel</t>
  </si>
  <si>
    <t>S_neg_sel</t>
  </si>
  <si>
    <t>Period</t>
  </si>
  <si>
    <t>Quarter</t>
  </si>
  <si>
    <t>Year</t>
  </si>
  <si>
    <t>TTF thermal (€/MWh) — IM selected (J)</t>
  </si>
  <si>
    <t>EUA (€/t) — IM selected (K)</t>
  </si>
  <si>
    <t>TTF thermal baseline (€/MWh) — same as R7</t>
  </si>
  <si>
    <t>Gas setting prc. — IM selected P_gas_sel (M)</t>
  </si>
  <si>
    <t>Res setting prc. — IM selected P_res_sel (N)</t>
  </si>
  <si>
    <t>Gas share — IM selected S_gas_sel (O)</t>
  </si>
  <si>
    <t>Res share — IM selected S_res_sel (P)</t>
  </si>
  <si>
    <t>Neg share — IM selected S_neg_sel (Q)</t>
  </si>
  <si>
    <t>Construction Timeline</t>
  </si>
  <si>
    <t>Phases duration</t>
  </si>
  <si>
    <t>Duration (quarters)</t>
  </si>
  <si>
    <t>Start date</t>
  </si>
  <si>
    <t>Phase 1</t>
  </si>
  <si>
    <t>Phase 2</t>
  </si>
  <si>
    <t>Phase 3</t>
  </si>
  <si>
    <t>Operational ramp-up</t>
  </si>
  <si>
    <t>Const. Cost</t>
  </si>
  <si>
    <t>Phase 1 cost</t>
  </si>
  <si>
    <t>Phase 2 cost</t>
  </si>
  <si>
    <t>Phase 3 cost</t>
  </si>
  <si>
    <t>Total</t>
  </si>
  <si>
    <t>Const. Financing</t>
  </si>
  <si>
    <t>Yearly</t>
  </si>
  <si>
    <t>Cost</t>
  </si>
  <si>
    <t>Capitalised interest</t>
  </si>
  <si>
    <t>PPE Value</t>
  </si>
  <si>
    <t>Plant operation</t>
  </si>
  <si>
    <t>Generation capacity (%)</t>
  </si>
  <si>
    <t>Gas prc. Hours</t>
  </si>
  <si>
    <t>Res prc. Hours</t>
  </si>
  <si>
    <t>Gas SRMC</t>
  </si>
  <si>
    <t>Res SRMC</t>
  </si>
  <si>
    <t>Cost / MWh</t>
  </si>
  <si>
    <t>Gas spark spread</t>
  </si>
  <si>
    <t>Res spark spread</t>
  </si>
  <si>
    <t>Total Running hours</t>
  </si>
  <si>
    <t>Gas prc. MWh</t>
  </si>
  <si>
    <t>Res prc. MWh</t>
  </si>
  <si>
    <t>Gas prc. Revenue</t>
  </si>
  <si>
    <t>Res prc. Revenue</t>
  </si>
  <si>
    <t>MWh Generation</t>
  </si>
  <si>
    <t>Gas need (MWh equivalent)</t>
  </si>
  <si>
    <t>CO2 Emitted (ton)</t>
  </si>
  <si>
    <t>Revenue</t>
  </si>
  <si>
    <t>Costs</t>
  </si>
  <si>
    <t>Variable O&amp;M (year/MW)</t>
  </si>
  <si>
    <t>Gas</t>
  </si>
  <si>
    <t>CO2</t>
  </si>
  <si>
    <t>Spark spread</t>
  </si>
  <si>
    <t>Running hours</t>
  </si>
  <si>
    <t>Generation</t>
  </si>
  <si>
    <t>Electricity price</t>
  </si>
  <si>
    <t>Gas setting prc.</t>
  </si>
  <si>
    <t>Res setting prc.</t>
  </si>
  <si>
    <t>Renew setting prc.</t>
  </si>
  <si>
    <t>Gas prc. Rev</t>
  </si>
  <si>
    <t>Res prc. Rev</t>
  </si>
  <si>
    <t>Total revenue</t>
  </si>
  <si>
    <t>Income Statement</t>
  </si>
  <si>
    <t>O&amp;M</t>
  </si>
  <si>
    <t>Total cost</t>
  </si>
  <si>
    <t>EBITDA</t>
  </si>
  <si>
    <t>D&amp;A</t>
  </si>
  <si>
    <t>Interest</t>
  </si>
  <si>
    <t>EBT</t>
  </si>
  <si>
    <t>Taxes</t>
  </si>
  <si>
    <t>Net income</t>
  </si>
  <si>
    <t>Free Cash Flow</t>
  </si>
  <si>
    <t>Cashflow Statement</t>
  </si>
  <si>
    <t>Cash Inflow</t>
  </si>
  <si>
    <t>Debt drawdown</t>
  </si>
  <si>
    <t>Equity injection</t>
  </si>
  <si>
    <t>Cash Outflow</t>
  </si>
  <si>
    <t>Capex</t>
  </si>
  <si>
    <t>Debt repayment</t>
  </si>
  <si>
    <t>Dividends</t>
  </si>
  <si>
    <t xml:space="preserve"> </t>
  </si>
  <si>
    <t>Cash Flow</t>
  </si>
  <si>
    <t>Sum CF</t>
  </si>
  <si>
    <t>Balance Sheet</t>
  </si>
  <si>
    <t>Assets</t>
  </si>
  <si>
    <t>BoP Assets</t>
  </si>
  <si>
    <t>Cash</t>
  </si>
  <si>
    <t>PPE</t>
  </si>
  <si>
    <t>Depreciation</t>
  </si>
  <si>
    <t>Receivables / Inventory</t>
  </si>
  <si>
    <t>EoP Assets</t>
  </si>
  <si>
    <t>Liabilities</t>
  </si>
  <si>
    <t>Payables</t>
  </si>
  <si>
    <t>Share capital</t>
  </si>
  <si>
    <t>Retained earnings (net income)</t>
  </si>
  <si>
    <t>EoP Equity</t>
  </si>
  <si>
    <t>Check</t>
  </si>
  <si>
    <t>NOL b/f</t>
  </si>
  <si>
    <t>Taxable income (after NOL)</t>
  </si>
  <si>
    <t>NOL used</t>
  </si>
  <si>
    <t>NOL c/f</t>
  </si>
  <si>
    <t>Unlevered FCF (EBIT x (1-tax) + D&amp;A - Capex)</t>
  </si>
  <si>
    <t>Debt w/ Capitalised interests</t>
  </si>
  <si>
    <t>Interest margin</t>
  </si>
  <si>
    <t>BoP Debt</t>
  </si>
  <si>
    <t>Principal repayment</t>
  </si>
  <si>
    <t>Interest capitalised</t>
  </si>
  <si>
    <t>EoP Debt</t>
  </si>
  <si>
    <t>Capital Structure</t>
  </si>
  <si>
    <t>Leverage analysis</t>
  </si>
  <si>
    <t>EBIT</t>
  </si>
  <si>
    <t>Cashflow</t>
  </si>
  <si>
    <t>Debt service</t>
  </si>
  <si>
    <t>Principal</t>
  </si>
  <si>
    <t>Ratios</t>
  </si>
  <si>
    <t>Leverage ratio</t>
  </si>
  <si>
    <t>CFADS (EBITDA less cash tax)</t>
  </si>
  <si>
    <t>Overhaul flag</t>
  </si>
  <si>
    <t>Maintenance reserve accrual</t>
  </si>
  <si>
    <t>Maintenance reserve balance</t>
  </si>
  <si>
    <t>DSRA target (6mo fwd debt service)</t>
  </si>
  <si>
    <t>Cash balance</t>
  </si>
  <si>
    <t>DSRA coverage (cash - target)</t>
  </si>
  <si>
    <t>Invested capital</t>
  </si>
  <si>
    <t>Cash flow</t>
  </si>
  <si>
    <t>Net Cash flow</t>
  </si>
  <si>
    <t>Accumulated net Cashflow</t>
  </si>
  <si>
    <t>Valuation</t>
  </si>
  <si>
    <t>Minimum equity return</t>
  </si>
  <si>
    <t>FCF</t>
  </si>
  <si>
    <t>PV FCF</t>
  </si>
  <si>
    <t>Enterprise NPV (PV unlevered FCF - invested capex)</t>
  </si>
  <si>
    <t>Equity NPV (equity CF discounted at min. equity return)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</si>
</sst>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0"/>
    <numFmt numFmtId="165" formatCode="0.00\x"/>
    <numFmt numFmtId="166" formatCode="_-* #,##0_-;\-* #,##0_-;_-* \-??_-;_-@_-"/>
    <numFmt numFmtId="167" formatCode="0.0%"/>
    <numFmt numFmtId="168" formatCode="\€#,##0.00"/>
    <numFmt numFmtId="169" formatCode="_-* #,##0.00_-;\-* #,##0.00_-;_-* \-??_-;_-@_-"/>
    <numFmt numFmtId="170" formatCode="_-* #,##0.0_-;\-* #,##0.0_-;_-* \-??_-;_-@_-"/>
    <numFmt numFmtId="171" formatCode="#,##0;[Red]\(#,##0\)"/>
    <numFmt numFmtId="172" formatCode="0.000%"/>
    <numFmt numFmtId="173" formatCode="_-* #,##0_-;\-* #,##0_-;_-* \-?_-;_-@_-"/>
    <numFmt numFmtId="174" formatCode="0.000000"/>
    <numFmt numFmtId="175" formatCode="#,##0.00;[Red]\(#,##0.00\)"/>
    <numFmt numFmtId="176" formatCode="_-* #,##0_-;\-* #,##0_-;_-* &quot;-&quot;??_-;_-@_-"/>
    <numFmt numFmtId="177" formatCode="_-* #,##0.0_-;\-* #,##0.0_-;_-* &quot;-&quot;??_-;_-@_-"/>
    <numFmt numFmtId="178" formatCode="0.00&quot;x&quot;"/>
    <numFmt numFmtId="179" formatCode="#,##0&quot; MW&quot;"/>
    <numFmt numFmtId="180" formatCode="0&quot; years&quot;"/>
    <numFmt numFmtId="181" formatCode="\€#,##0&quot;/MW/yr&quot;"/>
  </numFmts>
  <fonts count="30" x14ac:knownFonts="1">
    <font>
      <sz val="10"/>
      <color theme="1"/>
      <name val="Arial"/>
      <family val="2"/>
      <charset val="1"/>
    </font>
    <font>
      <b/>
      <sz val="14"/>
      <name val="Arial"/>
      <family val="2"/>
      <charset val="1"/>
    </font>
    <font>
      <sz val="10"/>
      <name val="Arial"/>
      <family val="2"/>
      <charset val="1"/>
    </font>
    <font>
      <b/>
      <sz val="11"/>
      <name val="Arial"/>
      <family val="2"/>
      <charset val="1"/>
    </font>
    <font>
      <b/>
      <sz val="10"/>
      <name val="Arial"/>
      <family val="2"/>
      <charset val="1"/>
    </font>
    <font>
      <u/>
      <sz val="10"/>
      <color rgb="FF0563C1"/>
      <name val="Arial"/>
      <family val="2"/>
      <charset val="1"/>
    </font>
    <font>
      <sz val="10"/>
      <color rgb="FF808080"/>
      <name val="Arial"/>
      <family val="2"/>
      <charset val="1"/>
    </font>
    <font>
      <sz val="10"/>
      <color rgb="FF0070C0"/>
      <name val="Arial"/>
      <family val="2"/>
      <charset val="1"/>
    </font>
    <font>
      <sz val="10"/>
      <name val="Arial"/>
      <family val="2"/>
    </font>
    <font>
      <i/>
      <sz val="8"/>
      <color theme="1"/>
      <name val="Arial"/>
      <family val="2"/>
      <charset val="1"/>
    </font>
    <font>
      <sz val="10"/>
      <name val="Arial"/>
      <family val="2"/>
    </font>
    <font>
      <b/>
      <sz val="14"/>
      <name val="Arial"/>
      <family val="2"/>
    </font>
    <font>
      <i/>
      <sz val="9"/>
      <color rgb="FF808080"/>
      <name val="Arial"/>
      <family val="2"/>
    </font>
    <font>
      <b/>
      <sz val="11"/>
      <name val="Arial"/>
      <family val="2"/>
    </font>
    <font>
      <b/>
      <sz val="10"/>
      <name val="Arial"/>
      <family val="2"/>
    </font>
    <font>
      <b/>
      <sz val="10"/>
      <name val="Arial"/>
      <family val="2"/>
    </font>
    <font>
      <b/>
      <sz val="9"/>
      <name val="Arial"/>
      <family val="2"/>
    </font>
    <font>
      <i/>
      <sz val="10"/>
      <name val="Arial"/>
      <family val="2"/>
    </font>
    <font>
      <sz val="10"/>
      <color theme="1"/>
      <name val="Arial"/>
      <family val="2"/>
      <charset val="1"/>
    </font>
    <font>
      <b/>
      <sz val="10"/>
      <color theme="0"/>
      <name val="Arial"/>
      <family val="2"/>
      <charset val="1"/>
    </font>
    <font>
      <sz val="10"/>
      <color theme="0"/>
      <name val="Arial"/>
      <family val="2"/>
      <charset val="1"/>
    </font>
    <font>
      <b/>
      <sz val="12"/>
      <name val="Arial"/>
      <family val="2"/>
    </font>
    <font>
      <b/>
      <sz val="10"/>
      <name val="Arial"/>
      <family val="2"/>
    </font>
    <font>
      <b/>
      <sz val="14"/>
      <name val="Arial"/>
      <family val="2"/>
    </font>
    <font>
      <i/>
      <sz val="9"/>
      <color rgb="FF6B6B6B"/>
      <name val="Arial"/>
      <family val="2"/>
    </font>
    <font>
      <b/>
      <sz val="11"/>
      <name val="Arial"/>
      <family val="2"/>
    </font>
    <font>
      <b/>
      <sz val="10"/>
      <color rgb="FFFFFFFF"/>
      <name val="Arial"/>
      <family val="2"/>
    </font>
    <font>
      <b/>
      <sz val="10"/>
      <name val="Arial"/>
      <family val="2"/>
    </font>
    <font>
      <b/>
      <sz val="11"/>
      <name val="Arial"/>
      <family val="2"/>
    </font>
    <font>
      <b/>
      <sz val="10"/>
      <name val="Arial"/>
      <family val="2"/>
    </font>
  </fonts>
  <fills count="14">
    <fill>
      <patternFill patternType="none"/>
    </fill>
    <fill>
      <patternFill patternType="gray125"/>
    </fill>
    <fill>
      <patternFill patternType="solid">
        <fgColor rgb="FFFFFF00"/>
        <bgColor rgb="FFFFFF00"/>
      </patternFill>
    </fill>
    <fill>
      <patternFill patternType="solid">
        <fgColor rgb="FFF2F2F2"/>
        <bgColor rgb="FFFFFFFF"/>
      </patternFill>
    </fill>
    <fill>
      <patternFill patternType="solid">
        <fgColor rgb="FF0070C0"/>
        <bgColor rgb="FF0563C1"/>
      </patternFill>
    </fill>
    <fill>
      <patternFill patternType="solid">
        <fgColor rgb="FFF3F4F6"/>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rgb="FFE8F1FB"/>
      </patternFill>
    </fill>
    <fill>
      <patternFill patternType="solid">
        <fgColor rgb="FFE8F8EF"/>
      </patternFill>
    </fill>
    <fill>
      <patternFill patternType="solid">
        <fgColor rgb="FF808080"/>
        <bgColor rgb="FF808080"/>
      </patternFill>
    </fill>
    <fill>
      <patternFill patternType="solid">
        <fgColor rgb="FFF2F2F2"/>
        <bgColor rgb="FFF2F2F2"/>
      </patternFill>
    </fill>
    <fill>
      <patternFill patternType="solid">
        <fgColor rgb="FFD9D9D9"/>
        <bgColor rgb="FFD9D9D9"/>
      </patternFill>
    </fill>
  </fills>
  <borders count="35">
    <border>
      <left/>
      <right/>
      <top/>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diagonal/>
    </border>
    <border>
      <left/>
      <right style="thin">
        <color rgb="FFBFBFBF"/>
      </right>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A6A6A6"/>
      </left>
      <right/>
      <top/>
      <bottom style="medium">
        <color rgb="FF808080"/>
      </bottom>
      <diagonal/>
    </border>
    <border>
      <left/>
      <right/>
      <top/>
      <bottom style="medium">
        <color rgb="FF808080"/>
      </bottom>
      <diagonal/>
    </border>
    <border>
      <left style="thin">
        <color rgb="FFA6A6A6"/>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D1D5DB"/>
      </left>
      <right style="thin">
        <color rgb="FFD1D5DB"/>
      </right>
      <top style="thin">
        <color rgb="FFD1D5DB"/>
      </top>
      <bottom style="thin">
        <color rgb="FFD1D5DB"/>
      </bottom>
      <diagonal/>
    </border>
    <border>
      <left style="thin">
        <color rgb="FFD1D5DB"/>
      </left>
      <right style="thin">
        <color rgb="FFD1D5DB"/>
      </right>
      <top style="thin">
        <color rgb="FFD1D5DB"/>
      </top>
      <bottom/>
      <diagonal/>
    </border>
    <border>
      <left style="thin">
        <color rgb="FFD1D5DB"/>
      </left>
      <right style="thin">
        <color rgb="FFD1D5DB"/>
      </right>
      <top/>
      <bottom style="thin">
        <color rgb="FFD1D5DB"/>
      </bottom>
      <diagonal/>
    </border>
    <border>
      <left style="thin">
        <color indexed="64"/>
      </left>
      <right style="thin">
        <color rgb="FFD1D5DB"/>
      </right>
      <top style="thin">
        <color indexed="64"/>
      </top>
      <bottom style="thin">
        <color indexed="64"/>
      </bottom>
      <diagonal/>
    </border>
    <border>
      <left style="thin">
        <color rgb="FFD1D5DB"/>
      </left>
      <right style="thin">
        <color rgb="FFD1D5DB"/>
      </right>
      <top style="thin">
        <color indexed="64"/>
      </top>
      <bottom style="thin">
        <color indexed="64"/>
      </bottom>
      <diagonal/>
    </border>
    <border>
      <left/>
      <right/>
      <top/>
      <bottom style="thin">
        <color rgb="FFD1D5DB"/>
      </bottom>
      <diagonal/>
    </border>
    <border>
      <left style="thin">
        <color rgb="FFD1D5DB"/>
      </left>
      <right/>
      <top style="thin">
        <color rgb="FFD1D5DB"/>
      </top>
      <bottom style="thin">
        <color rgb="FFD1D5DB"/>
      </bottom>
      <diagonal/>
    </border>
    <border>
      <left style="thin">
        <color rgb="FFD1D5DB"/>
      </left>
      <right/>
      <top style="thin">
        <color rgb="FFD1D5DB"/>
      </top>
      <bottom/>
      <diagonal/>
    </border>
    <border>
      <left style="thin">
        <color rgb="FFD1D5DB"/>
      </left>
      <right/>
      <top style="thin">
        <color indexed="64"/>
      </top>
      <bottom style="thin">
        <color indexed="64"/>
      </bottom>
      <diagonal/>
    </border>
    <border>
      <left style="thin">
        <color rgb="FFD1D5DB"/>
      </left>
      <right/>
      <top/>
      <bottom style="thin">
        <color rgb="FFD1D5DB"/>
      </bottom>
      <diagonal/>
    </border>
    <border>
      <left/>
      <right style="thin">
        <color rgb="FFD1D5DB"/>
      </right>
      <top style="thin">
        <color rgb="FFD1D5DB"/>
      </top>
      <bottom style="thin">
        <color rgb="FFD1D5DB"/>
      </bottom>
      <diagonal/>
    </border>
    <border>
      <left/>
      <right style="thin">
        <color rgb="FFD1D5DB"/>
      </right>
      <top style="thin">
        <color rgb="FFD1D5DB"/>
      </top>
      <bottom/>
      <diagonal/>
    </border>
    <border>
      <left/>
      <right style="thin">
        <color rgb="FFD1D5DB"/>
      </right>
      <top style="thin">
        <color indexed="64"/>
      </top>
      <bottom style="thin">
        <color indexed="64"/>
      </bottom>
      <diagonal/>
    </border>
    <border>
      <left/>
      <right style="thin">
        <color rgb="FFD1D5DB"/>
      </right>
      <top/>
      <bottom style="thin">
        <color rgb="FFD1D5DB"/>
      </bottom>
      <diagonal/>
    </border>
    <border>
      <left style="thick">
        <color theme="4"/>
      </left>
      <right style="thick">
        <color theme="4"/>
      </right>
      <top style="thick">
        <color theme="4"/>
      </top>
      <bottom style="thin">
        <color rgb="FFD1D5DB"/>
      </bottom>
      <diagonal/>
    </border>
    <border>
      <left style="thick">
        <color theme="4"/>
      </left>
      <right style="thick">
        <color theme="4"/>
      </right>
      <top/>
      <bottom style="thin">
        <color rgb="FFD1D5DB"/>
      </bottom>
      <diagonal/>
    </border>
    <border>
      <left style="thick">
        <color theme="4"/>
      </left>
      <right style="thick">
        <color theme="4"/>
      </right>
      <top/>
      <bottom style="thick">
        <color theme="4"/>
      </bottom>
      <diagonal/>
    </border>
    <border>
      <left style="thin">
        <color rgb="FFBFBFBF"/>
      </left>
      <right style="thin">
        <color rgb="FFBFBFBF"/>
      </right>
      <top style="thin">
        <color rgb="FFBFBFBF"/>
      </top>
      <bottom style="thin">
        <color rgb="FFBFBFBF"/>
      </bottom>
      <diagonal/>
    </border>
  </borders>
  <cellStyleXfs count="3">
    <xf numFmtId="0" fontId="0" fillId="0" borderId="0"/>
    <xf numFmtId="43" fontId="18" fillId="0" borderId="0"/>
    <xf numFmtId="9" fontId="18" fillId="0" borderId="0"/>
  </cellStyleXfs>
  <cellXfs count="206">
    <xf numFmtId="0" fontId="0" fillId="0" borderId="0" xfId="0"/>
    <xf numFmtId="0" fontId="1" fillId="0" borderId="0" xfId="0" applyFont="1"/>
    <xf numFmtId="0" fontId="2" fillId="0" borderId="0" xfId="0" applyFont="1"/>
    <xf numFmtId="0" fontId="3" fillId="0" borderId="1" xfId="0" applyFont="1" applyBorder="1"/>
    <xf numFmtId="0" fontId="0" fillId="0" borderId="2" xfId="0" applyBorder="1"/>
    <xf numFmtId="0" fontId="0" fillId="0" borderId="3" xfId="0" applyBorder="1"/>
    <xf numFmtId="0" fontId="3" fillId="0" borderId="0" xfId="0" applyFont="1"/>
    <xf numFmtId="0" fontId="2" fillId="0" borderId="4" xfId="0" applyFont="1" applyBorder="1"/>
    <xf numFmtId="0" fontId="0" fillId="0" borderId="5" xfId="0" applyBorder="1"/>
    <xf numFmtId="0" fontId="5" fillId="0" borderId="0" xfId="0" applyFont="1"/>
    <xf numFmtId="0" fontId="4" fillId="0" borderId="0" xfId="0" applyFont="1"/>
    <xf numFmtId="0" fontId="2" fillId="0" borderId="6" xfId="0" applyFont="1" applyBorder="1"/>
    <xf numFmtId="0" fontId="0" fillId="0" borderId="7" xfId="0" applyBorder="1"/>
    <xf numFmtId="0" fontId="0" fillId="0" borderId="8" xfId="0" applyBorder="1"/>
    <xf numFmtId="164" fontId="6" fillId="0" borderId="5" xfId="0" applyNumberFormat="1" applyFont="1" applyBorder="1"/>
    <xf numFmtId="165" fontId="6" fillId="0" borderId="5" xfId="0" applyNumberFormat="1" applyFont="1" applyBorder="1"/>
    <xf numFmtId="164" fontId="6" fillId="0" borderId="8" xfId="0" applyNumberFormat="1" applyFont="1" applyBorder="1"/>
    <xf numFmtId="0" fontId="2" fillId="0" borderId="0" xfId="0" applyFont="1" applyAlignment="1">
      <alignment vertical="top"/>
    </xf>
    <xf numFmtId="3" fontId="7" fillId="0" borderId="0" xfId="0" applyNumberFormat="1" applyFont="1"/>
    <xf numFmtId="9" fontId="7" fillId="0" borderId="0" xfId="0" applyNumberFormat="1" applyFont="1"/>
    <xf numFmtId="10" fontId="7" fillId="0" borderId="0" xfId="0" applyNumberFormat="1" applyFont="1"/>
    <xf numFmtId="166" fontId="0" fillId="0" borderId="0" xfId="0" applyNumberFormat="1"/>
    <xf numFmtId="9" fontId="0" fillId="0" borderId="0" xfId="0" applyNumberFormat="1"/>
    <xf numFmtId="0" fontId="0" fillId="2" borderId="0" xfId="0" applyFill="1"/>
    <xf numFmtId="1" fontId="7" fillId="0" borderId="0" xfId="0" applyNumberFormat="1" applyFont="1"/>
    <xf numFmtId="165" fontId="7" fillId="0" borderId="0" xfId="0" applyNumberFormat="1" applyFont="1"/>
    <xf numFmtId="165" fontId="0" fillId="0" borderId="0" xfId="0" applyNumberFormat="1"/>
    <xf numFmtId="167" fontId="7" fillId="0" borderId="0" xfId="0" applyNumberFormat="1" applyFont="1"/>
    <xf numFmtId="168" fontId="7" fillId="0" borderId="0" xfId="0" applyNumberFormat="1" applyFont="1"/>
    <xf numFmtId="10" fontId="0" fillId="0" borderId="0" xfId="0" applyNumberFormat="1"/>
    <xf numFmtId="0" fontId="8" fillId="0" borderId="0" xfId="0" applyFont="1"/>
    <xf numFmtId="17" fontId="0" fillId="0" borderId="0" xfId="0" applyNumberFormat="1"/>
    <xf numFmtId="0" fontId="4" fillId="3" borderId="9" xfId="0" applyFont="1" applyFill="1" applyBorder="1"/>
    <xf numFmtId="0" fontId="4" fillId="3" borderId="10" xfId="0" applyFont="1" applyFill="1" applyBorder="1"/>
    <xf numFmtId="0" fontId="0" fillId="0" borderId="11" xfId="0" applyBorder="1"/>
    <xf numFmtId="169" fontId="0" fillId="0" borderId="11" xfId="0" applyNumberFormat="1" applyBorder="1"/>
    <xf numFmtId="169" fontId="0" fillId="0" borderId="0" xfId="0" applyNumberFormat="1"/>
    <xf numFmtId="170" fontId="0" fillId="0" borderId="11" xfId="0" applyNumberFormat="1" applyBorder="1"/>
    <xf numFmtId="170" fontId="0" fillId="0" borderId="0" xfId="0" applyNumberFormat="1"/>
    <xf numFmtId="170" fontId="7" fillId="0" borderId="11" xfId="0" applyNumberFormat="1" applyFont="1" applyBorder="1"/>
    <xf numFmtId="9" fontId="0" fillId="0" borderId="11" xfId="0" applyNumberFormat="1" applyBorder="1"/>
    <xf numFmtId="166" fontId="0" fillId="0" borderId="11" xfId="0" applyNumberFormat="1" applyBorder="1"/>
    <xf numFmtId="10" fontId="0" fillId="0" borderId="11" xfId="0" applyNumberFormat="1" applyBorder="1"/>
    <xf numFmtId="171" fontId="0" fillId="0" borderId="11" xfId="0" applyNumberFormat="1" applyBorder="1"/>
    <xf numFmtId="171" fontId="0" fillId="0" borderId="0" xfId="0" applyNumberFormat="1"/>
    <xf numFmtId="1" fontId="0" fillId="0" borderId="0" xfId="0" applyNumberFormat="1"/>
    <xf numFmtId="165" fontId="0" fillId="0" borderId="11" xfId="0" applyNumberFormat="1" applyBorder="1"/>
    <xf numFmtId="172" fontId="0" fillId="0" borderId="0" xfId="0" applyNumberFormat="1"/>
    <xf numFmtId="167" fontId="0" fillId="0" borderId="0" xfId="0" applyNumberFormat="1"/>
    <xf numFmtId="173" fontId="0" fillId="0" borderId="0" xfId="0" applyNumberFormat="1"/>
    <xf numFmtId="3" fontId="0" fillId="0" borderId="0" xfId="0" applyNumberFormat="1"/>
    <xf numFmtId="164" fontId="7" fillId="0" borderId="0" xfId="0" applyNumberFormat="1" applyFont="1"/>
    <xf numFmtId="164" fontId="0" fillId="0" borderId="0" xfId="0" applyNumberFormat="1"/>
    <xf numFmtId="168" fontId="0" fillId="0" borderId="0" xfId="0" applyNumberFormat="1"/>
    <xf numFmtId="166" fontId="7" fillId="0" borderId="12" xfId="0" applyNumberFormat="1" applyFont="1" applyBorder="1"/>
    <xf numFmtId="167" fontId="7" fillId="0" borderId="13" xfId="0" applyNumberFormat="1" applyFont="1" applyBorder="1"/>
    <xf numFmtId="167" fontId="0" fillId="0" borderId="13" xfId="0" applyNumberFormat="1" applyBorder="1"/>
    <xf numFmtId="167" fontId="0" fillId="0" borderId="14" xfId="0" applyNumberFormat="1" applyBorder="1"/>
    <xf numFmtId="9" fontId="7" fillId="0" borderId="15" xfId="0" applyNumberFormat="1" applyFont="1" applyBorder="1"/>
    <xf numFmtId="9" fontId="0" fillId="0" borderId="15" xfId="0" applyNumberFormat="1" applyBorder="1"/>
    <xf numFmtId="9" fontId="0" fillId="0" borderId="16" xfId="0" applyNumberFormat="1" applyBorder="1"/>
    <xf numFmtId="0" fontId="10" fillId="0" borderId="0" xfId="0" applyFont="1"/>
    <xf numFmtId="0" fontId="10" fillId="0" borderId="0" xfId="0" applyFont="1" applyAlignment="1">
      <alignment wrapText="1"/>
    </xf>
    <xf numFmtId="171" fontId="10" fillId="0" borderId="0" xfId="0" applyNumberFormat="1" applyFont="1"/>
    <xf numFmtId="0" fontId="12" fillId="0" borderId="0" xfId="0" applyFont="1"/>
    <xf numFmtId="0" fontId="15" fillId="0" borderId="0" xfId="0" applyFont="1"/>
    <xf numFmtId="0" fontId="16" fillId="5" borderId="17" xfId="0" applyFont="1" applyFill="1" applyBorder="1"/>
    <xf numFmtId="0" fontId="0" fillId="0" borderId="17" xfId="0" applyBorder="1"/>
    <xf numFmtId="174" fontId="0" fillId="0" borderId="17" xfId="0" applyNumberFormat="1" applyBorder="1"/>
    <xf numFmtId="167" fontId="0" fillId="0" borderId="0" xfId="2" applyNumberFormat="1" applyFont="1"/>
    <xf numFmtId="43" fontId="0" fillId="0" borderId="0" xfId="0" applyNumberFormat="1"/>
    <xf numFmtId="0" fontId="0" fillId="6" borderId="0" xfId="0" applyFill="1"/>
    <xf numFmtId="0" fontId="0" fillId="7" borderId="0" xfId="0" applyFill="1"/>
    <xf numFmtId="175" fontId="0" fillId="0" borderId="11" xfId="0" applyNumberFormat="1" applyBorder="1"/>
    <xf numFmtId="43" fontId="0" fillId="0" borderId="11" xfId="1" applyFont="1" applyBorder="1"/>
    <xf numFmtId="43" fontId="0" fillId="0" borderId="0" xfId="1" applyFont="1"/>
    <xf numFmtId="176" fontId="0" fillId="0" borderId="11" xfId="1" applyNumberFormat="1" applyFont="1" applyBorder="1"/>
    <xf numFmtId="176" fontId="0" fillId="0" borderId="0" xfId="1" applyNumberFormat="1" applyFont="1"/>
    <xf numFmtId="175" fontId="0" fillId="0" borderId="0" xfId="0" applyNumberFormat="1"/>
    <xf numFmtId="0" fontId="19" fillId="4" borderId="0" xfId="0" applyFont="1" applyFill="1"/>
    <xf numFmtId="172" fontId="7" fillId="0" borderId="0" xfId="2" applyNumberFormat="1" applyFont="1"/>
    <xf numFmtId="0" fontId="0" fillId="0" borderId="18" xfId="0" applyBorder="1"/>
    <xf numFmtId="174" fontId="0" fillId="0" borderId="18" xfId="0" applyNumberFormat="1" applyBorder="1"/>
    <xf numFmtId="0" fontId="0" fillId="0" borderId="19" xfId="0" applyBorder="1"/>
    <xf numFmtId="174" fontId="0" fillId="0" borderId="19" xfId="0" applyNumberFormat="1" applyBorder="1"/>
    <xf numFmtId="174" fontId="0" fillId="0" borderId="21" xfId="0" applyNumberFormat="1" applyBorder="1"/>
    <xf numFmtId="0" fontId="0" fillId="0" borderId="21" xfId="0" applyBorder="1"/>
    <xf numFmtId="0" fontId="0" fillId="0" borderId="13" xfId="0" applyBorder="1"/>
    <xf numFmtId="166" fontId="20" fillId="0" borderId="0" xfId="0" applyNumberFormat="1" applyFont="1"/>
    <xf numFmtId="176" fontId="4" fillId="3" borderId="9" xfId="1" applyNumberFormat="1" applyFont="1" applyFill="1" applyBorder="1"/>
    <xf numFmtId="176" fontId="4" fillId="3" borderId="10" xfId="1" applyNumberFormat="1" applyFont="1" applyFill="1" applyBorder="1"/>
    <xf numFmtId="176" fontId="0" fillId="6" borderId="0" xfId="1" applyNumberFormat="1" applyFont="1" applyFill="1"/>
    <xf numFmtId="9" fontId="9" fillId="0" borderId="11" xfId="2" applyFont="1" applyBorder="1"/>
    <xf numFmtId="9" fontId="9" fillId="0" borderId="0" xfId="2" applyFont="1"/>
    <xf numFmtId="0" fontId="0" fillId="8" borderId="0" xfId="0" applyFill="1"/>
    <xf numFmtId="169" fontId="0" fillId="8" borderId="11" xfId="0" applyNumberFormat="1" applyFill="1" applyBorder="1"/>
    <xf numFmtId="43" fontId="0" fillId="8" borderId="0" xfId="1" applyFont="1" applyFill="1"/>
    <xf numFmtId="43" fontId="0" fillId="8" borderId="11" xfId="1" applyFont="1" applyFill="1" applyBorder="1"/>
    <xf numFmtId="169" fontId="0" fillId="8" borderId="0" xfId="0" applyNumberFormat="1" applyFill="1"/>
    <xf numFmtId="177" fontId="0" fillId="0" borderId="11" xfId="1" applyNumberFormat="1" applyFont="1" applyBorder="1"/>
    <xf numFmtId="177" fontId="0" fillId="0" borderId="0" xfId="1" applyNumberFormat="1" applyFont="1"/>
    <xf numFmtId="0" fontId="16" fillId="5" borderId="18" xfId="0" applyFont="1" applyFill="1" applyBorder="1"/>
    <xf numFmtId="174" fontId="0" fillId="8" borderId="31" xfId="0" applyNumberFormat="1" applyFill="1" applyBorder="1"/>
    <xf numFmtId="174" fontId="0" fillId="8" borderId="32" xfId="0" applyNumberFormat="1" applyFill="1" applyBorder="1"/>
    <xf numFmtId="174" fontId="0" fillId="8" borderId="33" xfId="0" applyNumberFormat="1" applyFill="1" applyBorder="1"/>
    <xf numFmtId="167" fontId="0" fillId="8" borderId="0" xfId="2" applyNumberFormat="1" applyFont="1" applyFill="1"/>
    <xf numFmtId="177" fontId="7" fillId="0" borderId="0" xfId="1" applyNumberFormat="1" applyFont="1"/>
    <xf numFmtId="176" fontId="7" fillId="0" borderId="0" xfId="1" applyNumberFormat="1" applyFont="1"/>
    <xf numFmtId="17" fontId="7" fillId="0" borderId="0" xfId="0" applyNumberFormat="1" applyFont="1"/>
    <xf numFmtId="177" fontId="7" fillId="0" borderId="11" xfId="1" applyNumberFormat="1" applyFont="1" applyBorder="1"/>
    <xf numFmtId="9" fontId="0" fillId="0" borderId="0" xfId="2" applyFont="1"/>
    <xf numFmtId="9" fontId="0" fillId="0" borderId="11" xfId="2" applyFont="1" applyBorder="1"/>
    <xf numFmtId="0" fontId="15" fillId="0" borderId="22" xfId="0" applyFont="1" applyBorder="1"/>
    <xf numFmtId="0" fontId="7" fillId="0" borderId="0" xfId="1" applyNumberFormat="1" applyFont="1"/>
    <xf numFmtId="0" fontId="22" fillId="0" borderId="0" xfId="0" applyFont="1"/>
    <xf numFmtId="0" fontId="21" fillId="0" borderId="0" xfId="0" applyFont="1"/>
    <xf numFmtId="0" fontId="22" fillId="9" borderId="17" xfId="0" applyFont="1" applyFill="1" applyBorder="1"/>
    <xf numFmtId="0" fontId="22" fillId="9" borderId="18" xfId="0" applyFont="1" applyFill="1" applyBorder="1"/>
    <xf numFmtId="0" fontId="22" fillId="10" borderId="17" xfId="0" applyFont="1" applyFill="1" applyBorder="1"/>
    <xf numFmtId="0" fontId="0" fillId="9" borderId="17" xfId="0" applyFill="1" applyBorder="1"/>
    <xf numFmtId="174" fontId="0" fillId="9" borderId="17" xfId="0" applyNumberFormat="1" applyFill="1" applyBorder="1"/>
    <xf numFmtId="43" fontId="0" fillId="9" borderId="17" xfId="1" applyFont="1" applyFill="1" applyBorder="1"/>
    <xf numFmtId="174" fontId="0" fillId="9" borderId="23" xfId="0" applyNumberFormat="1" applyFill="1" applyBorder="1"/>
    <xf numFmtId="174" fontId="0" fillId="9" borderId="31" xfId="0" applyNumberFormat="1" applyFill="1" applyBorder="1"/>
    <xf numFmtId="174" fontId="0" fillId="9" borderId="0" xfId="0" applyNumberFormat="1" applyFill="1"/>
    <xf numFmtId="174" fontId="0" fillId="10" borderId="27" xfId="0" applyNumberFormat="1" applyFill="1" applyBorder="1"/>
    <xf numFmtId="174" fontId="0" fillId="10" borderId="17" xfId="0" applyNumberFormat="1" applyFill="1" applyBorder="1"/>
    <xf numFmtId="167" fontId="0" fillId="10" borderId="17" xfId="2" applyNumberFormat="1" applyFont="1" applyFill="1" applyBorder="1"/>
    <xf numFmtId="0" fontId="0" fillId="10" borderId="17" xfId="0" applyFill="1" applyBorder="1"/>
    <xf numFmtId="0" fontId="0" fillId="9" borderId="18" xfId="0" applyFill="1" applyBorder="1"/>
    <xf numFmtId="174" fontId="0" fillId="9" borderId="18" xfId="0" applyNumberFormat="1" applyFill="1" applyBorder="1"/>
    <xf numFmtId="174" fontId="0" fillId="9" borderId="24" xfId="0" applyNumberFormat="1" applyFill="1" applyBorder="1"/>
    <xf numFmtId="174" fontId="0" fillId="9" borderId="32" xfId="0" applyNumberFormat="1" applyFill="1" applyBorder="1"/>
    <xf numFmtId="174" fontId="0" fillId="10" borderId="28" xfId="0" applyNumberFormat="1" applyFill="1" applyBorder="1"/>
    <xf numFmtId="174" fontId="0" fillId="10" borderId="18" xfId="0" applyNumberFormat="1" applyFill="1" applyBorder="1"/>
    <xf numFmtId="0" fontId="0" fillId="10" borderId="18" xfId="0" applyFill="1" applyBorder="1"/>
    <xf numFmtId="0" fontId="0" fillId="9" borderId="20" xfId="0" applyFill="1" applyBorder="1"/>
    <xf numFmtId="174" fontId="0" fillId="9" borderId="21" xfId="0" applyNumberFormat="1" applyFill="1" applyBorder="1"/>
    <xf numFmtId="174" fontId="0" fillId="9" borderId="25" xfId="0" applyNumberFormat="1" applyFill="1" applyBorder="1"/>
    <xf numFmtId="174" fontId="0" fillId="10" borderId="29" xfId="0" applyNumberFormat="1" applyFill="1" applyBorder="1"/>
    <xf numFmtId="174" fontId="0" fillId="10" borderId="21" xfId="0" applyNumberFormat="1" applyFill="1" applyBorder="1"/>
    <xf numFmtId="0" fontId="0" fillId="10" borderId="21" xfId="0" applyFill="1" applyBorder="1"/>
    <xf numFmtId="0" fontId="0" fillId="9" borderId="19" xfId="0" applyFill="1" applyBorder="1"/>
    <xf numFmtId="174" fontId="0" fillId="9" borderId="19" xfId="0" applyNumberFormat="1" applyFill="1" applyBorder="1"/>
    <xf numFmtId="174" fontId="0" fillId="9" borderId="26" xfId="0" applyNumberFormat="1" applyFill="1" applyBorder="1"/>
    <xf numFmtId="174" fontId="0" fillId="10" borderId="30" xfId="0" applyNumberFormat="1" applyFill="1" applyBorder="1"/>
    <xf numFmtId="174" fontId="0" fillId="10" borderId="19" xfId="0" applyNumberFormat="1" applyFill="1" applyBorder="1"/>
    <xf numFmtId="0" fontId="0" fillId="10" borderId="19" xfId="0" applyFill="1" applyBorder="1"/>
    <xf numFmtId="174" fontId="0" fillId="9" borderId="33" xfId="0" applyNumberFormat="1" applyFill="1" applyBorder="1"/>
    <xf numFmtId="3" fontId="2" fillId="7" borderId="0" xfId="0" applyNumberFormat="1" applyFont="1" applyFill="1"/>
    <xf numFmtId="9" fontId="2" fillId="7" borderId="0" xfId="0" applyNumberFormat="1" applyFont="1" applyFill="1"/>
    <xf numFmtId="10" fontId="2" fillId="7" borderId="0" xfId="0" applyNumberFormat="1" applyFont="1" applyFill="1"/>
    <xf numFmtId="0" fontId="2" fillId="7" borderId="0" xfId="0" applyFont="1" applyFill="1"/>
    <xf numFmtId="176" fontId="2" fillId="7" borderId="0" xfId="0" applyNumberFormat="1" applyFont="1" applyFill="1"/>
    <xf numFmtId="166" fontId="0" fillId="7" borderId="0" xfId="0" applyNumberFormat="1" applyFill="1"/>
    <xf numFmtId="17" fontId="2" fillId="7" borderId="0" xfId="0" applyNumberFormat="1" applyFont="1" applyFill="1"/>
    <xf numFmtId="166" fontId="2" fillId="7" borderId="0" xfId="0" applyNumberFormat="1" applyFont="1" applyFill="1"/>
    <xf numFmtId="1" fontId="2" fillId="7" borderId="0" xfId="0" applyNumberFormat="1" applyFont="1" applyFill="1"/>
    <xf numFmtId="165" fontId="2" fillId="7" borderId="0" xfId="0" applyNumberFormat="1" applyFont="1" applyFill="1"/>
    <xf numFmtId="167" fontId="2" fillId="7" borderId="0" xfId="0" applyNumberFormat="1" applyFont="1" applyFill="1"/>
    <xf numFmtId="168" fontId="2" fillId="7" borderId="0" xfId="0" applyNumberFormat="1" applyFont="1" applyFill="1"/>
    <xf numFmtId="164" fontId="2" fillId="7" borderId="0" xfId="0" applyNumberFormat="1" applyFont="1" applyFill="1"/>
    <xf numFmtId="1" fontId="7" fillId="7" borderId="0" xfId="0" applyNumberFormat="1" applyFont="1" applyFill="1"/>
    <xf numFmtId="0" fontId="14" fillId="0" borderId="0" xfId="0" applyFont="1"/>
    <xf numFmtId="9" fontId="0" fillId="7" borderId="0" xfId="0" applyNumberFormat="1" applyFill="1"/>
    <xf numFmtId="10" fontId="0" fillId="7" borderId="0" xfId="0" applyNumberFormat="1" applyFill="1"/>
    <xf numFmtId="0" fontId="23" fillId="0" borderId="0" xfId="0" applyFont="1"/>
    <xf numFmtId="0" fontId="24" fillId="0" borderId="0" xfId="0" applyFont="1" applyAlignment="1">
      <alignment wrapText="1"/>
    </xf>
    <xf numFmtId="0" fontId="25" fillId="0" borderId="0" xfId="0" applyFont="1"/>
    <xf numFmtId="0" fontId="26" fillId="11" borderId="34" xfId="0" applyFont="1" applyFill="1" applyBorder="1"/>
    <xf numFmtId="0" fontId="26" fillId="11" borderId="34" xfId="0" applyFont="1" applyFill="1" applyBorder="1" applyAlignment="1">
      <alignment horizontal="center"/>
    </xf>
    <xf numFmtId="0" fontId="27" fillId="12" borderId="34" xfId="0" applyFont="1" applyFill="1" applyBorder="1"/>
    <xf numFmtId="164" fontId="27" fillId="13" borderId="34" xfId="0" applyNumberFormat="1" applyFont="1" applyFill="1" applyBorder="1" applyAlignment="1">
      <alignment horizontal="center"/>
    </xf>
    <xf numFmtId="164" fontId="0" fillId="0" borderId="34" xfId="0" applyNumberFormat="1" applyBorder="1" applyAlignment="1">
      <alignment horizontal="center"/>
    </xf>
    <xf numFmtId="171" fontId="26" fillId="11" borderId="34" xfId="0" applyNumberFormat="1" applyFont="1" applyFill="1" applyBorder="1" applyAlignment="1">
      <alignment horizontal="center"/>
    </xf>
    <xf numFmtId="10" fontId="26" fillId="11" borderId="34" xfId="0" applyNumberFormat="1" applyFont="1" applyFill="1" applyBorder="1" applyAlignment="1">
      <alignment horizontal="center"/>
    </xf>
    <xf numFmtId="178" fontId="26" fillId="11" borderId="34" xfId="0" applyNumberFormat="1" applyFont="1" applyFill="1" applyBorder="1" applyAlignment="1">
      <alignment horizontal="center"/>
    </xf>
    <xf numFmtId="164" fontId="10" fillId="0" borderId="34" xfId="0" applyNumberFormat="1" applyFont="1" applyBorder="1" applyAlignment="1">
      <alignment horizontal="center"/>
    </xf>
    <xf numFmtId="0" fontId="11" fillId="0" borderId="0" xfId="0" applyFont="1"/>
    <xf numFmtId="0" fontId="25" fillId="0" borderId="0" xfId="0" applyFont="1" applyAlignment="1">
      <alignment wrapText="1"/>
    </xf>
    <xf numFmtId="10" fontId="10" fillId="0" borderId="0" xfId="0" applyNumberFormat="1" applyFont="1"/>
    <xf numFmtId="178" fontId="10" fillId="0" borderId="0" xfId="0" applyNumberFormat="1" applyFont="1"/>
    <xf numFmtId="0" fontId="24" fillId="0" borderId="0" xfId="0" applyFont="1"/>
    <xf numFmtId="164" fontId="14" fillId="0" borderId="34" xfId="0" applyNumberFormat="1" applyFont="1" applyBorder="1" applyAlignment="1">
      <alignment horizontal="center"/>
    </xf>
    <xf numFmtId="0" fontId="12" fillId="0" borderId="0" xfId="0" applyFont="1" applyAlignment="1">
      <alignment wrapText="1"/>
    </xf>
    <xf numFmtId="0" fontId="13" fillId="0" borderId="0" xfId="0" applyFont="1"/>
    <xf numFmtId="0" fontId="17" fillId="0" borderId="0" xfId="0" applyFont="1"/>
    <xf numFmtId="176" fontId="2" fillId="0" borderId="0" xfId="1" applyNumberFormat="1" applyFont="1"/>
    <xf numFmtId="0" fontId="7" fillId="0" borderId="0" xfId="0" applyFont="1"/>
    <xf numFmtId="3" fontId="14" fillId="0" borderId="0" xfId="0" applyNumberFormat="1" applyFont="1"/>
    <xf numFmtId="9" fontId="14" fillId="0" borderId="0" xfId="0" applyNumberFormat="1" applyFont="1"/>
    <xf numFmtId="0" fontId="28" fillId="0" borderId="0" xfId="0" applyFont="1"/>
    <xf numFmtId="0" fontId="0" fillId="0" borderId="0" xfId="0" applyAlignment="1">
      <alignment vertical="top" wrapText="1"/>
    </xf>
    <xf numFmtId="0" fontId="29" fillId="0" borderId="0" xfId="0" applyFont="1"/>
    <xf numFmtId="179" fontId="4" fillId="0" borderId="0" xfId="0" applyNumberFormat="1" applyFont="1" applyAlignment="1">
      <alignment horizontal="center" vertical="top"/>
    </xf>
    <xf numFmtId="164" fontId="4" fillId="0" borderId="0" xfId="0" applyNumberFormat="1" applyFont="1" applyAlignment="1">
      <alignment horizontal="center" vertical="top"/>
    </xf>
    <xf numFmtId="0" fontId="4" fillId="0" borderId="0" xfId="0" applyFont="1" applyAlignment="1">
      <alignment horizontal="center" vertical="top"/>
    </xf>
    <xf numFmtId="180" fontId="4" fillId="0" borderId="0" xfId="0" applyNumberFormat="1" applyFont="1" applyAlignment="1">
      <alignment horizontal="center" vertical="top"/>
    </xf>
    <xf numFmtId="165" fontId="4" fillId="0" borderId="0" xfId="0" applyNumberFormat="1" applyFont="1" applyAlignment="1">
      <alignment horizontal="center" vertical="top"/>
    </xf>
    <xf numFmtId="181" fontId="4" fillId="0" borderId="0" xfId="0" applyNumberFormat="1" applyFont="1" applyAlignment="1">
      <alignment horizontal="center" vertical="top"/>
    </xf>
    <xf numFmtId="0" fontId="4" fillId="0" borderId="7" xfId="0" applyFont="1" applyBorder="1" applyAlignment="1">
      <alignment horizontal="center" vertical="top"/>
    </xf>
    <xf numFmtId="0" fontId="0" fillId="0" borderId="0" xfId="0" applyAlignment="1">
      <alignment horizontal="center" vertical="top"/>
    </xf>
    <xf numFmtId="0" fontId="0" fillId="0" borderId="2" xfId="0" applyBorder="1" applyAlignment="1">
      <alignment horizontal="center" vertical="top"/>
    </xf>
    <xf numFmtId="172" fontId="4" fillId="0" borderId="0" xfId="0" applyNumberFormat="1" applyFont="1" applyAlignment="1">
      <alignment horizontal="center" vertical="top"/>
    </xf>
    <xf numFmtId="10" fontId="4" fillId="0" borderId="0" xfId="0" applyNumberFormat="1" applyFont="1" applyAlignment="1">
      <alignment horizontal="center" vertical="top"/>
    </xf>
    <xf numFmtId="164" fontId="4" fillId="0" borderId="7" xfId="0" applyNumberFormat="1" applyFont="1" applyBorder="1" applyAlignment="1">
      <alignment horizontal="center" vertical="top"/>
    </xf>
  </cellXfs>
  <cellStyles count="3">
    <cellStyle name="Comma" xfId="1" builtinId="3"/>
    <cellStyle name="Normal" xfId="0" builtinId="0"/>
    <cellStyle name="Per cent" xfId="2" builtinId="5"/>
  </cellStyles>
  <dxfs count="2">
    <dxf>
      <fill>
        <patternFill>
          <bgColor rgb="FFFFC7CE"/>
        </patternFill>
      </fill>
    </dxf>
    <dxf>
      <fill>
        <patternFill>
          <bgColor rgb="FFC6EFCE"/>
        </patternFill>
      </fill>
    </dxf>
  </dxfs>
  <tableStyles count="0" defaultTableStyle="TableStyleMedium2" defaultPivotStyle="PivotStyleLight16"/>
  <colors>
    <indexedColors>
      <rgbColor rgb="FF000000"/>
      <rgbColor rgb="FFFFFFFF"/>
      <rgbColor rgb="FFE2001A"/>
      <rgbColor rgb="FF00FF00"/>
      <rgbColor rgb="FF0000FF"/>
      <rgbColor rgb="FFFFFF00"/>
      <rgbColor rgb="FFFF00FF"/>
      <rgbColor rgb="FF00FFFF"/>
      <rgbColor rgb="FF800000"/>
      <rgbColor rgb="FF008000"/>
      <rgbColor rgb="FF000080"/>
      <rgbColor rgb="FF899E00"/>
      <rgbColor rgb="FF800080"/>
      <rgbColor rgb="FF0070C0"/>
      <rgbColor rgb="FFBFBFBF"/>
      <rgbColor rgb="FF808080"/>
      <rgbColor rgb="FF9999FF"/>
      <rgbColor rgb="FF595959"/>
      <rgbColor rgb="FFF2F2F2"/>
      <rgbColor rgb="FFE2E2E2"/>
      <rgbColor rgb="FF660066"/>
      <rgbColor rgb="FFB8860B"/>
      <rgbColor rgb="FF0563C1"/>
      <rgbColor rgb="FFD9D9D9"/>
      <rgbColor rgb="FF000080"/>
      <rgbColor rgb="FFFF00FF"/>
      <rgbColor rgb="FFFFFF00"/>
      <rgbColor rgb="FF00FFFF"/>
      <rgbColor rgb="FF800080"/>
      <rgbColor rgb="FF800000"/>
      <rgbColor rgb="FF008080"/>
      <rgbColor rgb="FF0000FF"/>
      <rgbColor rgb="FF00CCFF"/>
      <rgbColor rgb="FFCCFFFF"/>
      <rgbColor rgb="FFC6EFCE"/>
      <rgbColor rgb="FFFFFF99"/>
      <rgbColor rgb="FFB3B3B3"/>
      <rgbColor rgb="FFFF99CC"/>
      <rgbColor rgb="FFCC99FF"/>
      <rgbColor rgb="FFFFC7CE"/>
      <rgbColor rgb="FF3366FF"/>
      <rgbColor rgb="FF33CCCC"/>
      <rgbColor rgb="FF99CC00"/>
      <rgbColor rgb="FFFFCC00"/>
      <rgbColor rgb="FFBF8F00"/>
      <rgbColor rgb="FFEC6608"/>
      <rgbColor rgb="FF666666"/>
      <rgbColor rgb="FFA6A6A6"/>
      <rgbColor rgb="FF4C4C4C"/>
      <rgbColor rgb="FF339966"/>
      <rgbColor rgb="FF003300"/>
      <rgbColor rgb="FF375623"/>
      <rgbColor rgb="FF993300"/>
      <rgbColor rgb="FF993366"/>
      <rgbColor rgb="FF1F4E78"/>
      <rgbColor rgb="FF2E2E2E"/>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lang="de-DE" sz="1400" b="0" strike="noStrike" spc="-1">
                <a:solidFill>
                  <a:srgbClr val="595959"/>
                </a:solidFill>
                <a:latin typeface="Arial"/>
              </a:defRPr>
            </a:pPr>
            <a:r>
              <a:rPr lang="de-DE" sz="1400" b="0" strike="noStrike" spc="-1">
                <a:solidFill>
                  <a:srgbClr val="595959"/>
                </a:solidFill>
                <a:latin typeface="Arial"/>
              </a:rPr>
              <a:t>Debt v Cash</a:t>
            </a:r>
          </a:p>
        </c:rich>
      </c:tx>
      <c:overlay val="0"/>
      <c:spPr>
        <a:noFill/>
        <a:ln w="0">
          <a:noFill/>
          <a:prstDash val="solid"/>
        </a:ln>
      </c:spPr>
    </c:title>
    <c:autoTitleDeleted val="0"/>
    <c:plotArea>
      <c:layout/>
      <c:lineChart>
        <c:grouping val="standard"/>
        <c:varyColors val="0"/>
        <c:ser>
          <c:idx val="0"/>
          <c:order val="0"/>
          <c:tx>
            <c:strRef>
              <c:f>'3 Stats.'!$D$50:$H$50</c:f>
              <c:strCache>
                <c:ptCount val="5"/>
                <c:pt idx="0">
                  <c:v> Cash </c:v>
                </c:pt>
              </c:strCache>
            </c:strRef>
          </c:tx>
          <c:spPr>
            <a:ln>
              <a:solidFill>
                <a:srgbClr val="1D4ED8"/>
              </a:solidFill>
              <a:prstDash val="solid"/>
            </a:ln>
          </c:spPr>
          <c:marker>
            <c:symbol val="none"/>
          </c:marker>
          <c:dLbls>
            <c:spPr>
              <a:noFill/>
              <a:ln>
                <a:noFill/>
                <a:prstDash val="solid"/>
              </a:ln>
            </c:spPr>
            <c:txPr>
              <a:bodyPr wrap="square"/>
              <a:lstStyle/>
              <a:p>
                <a:pPr>
                  <a:defRPr sz="1000" b="0" strike="noStrike" spc="-1">
                    <a:solidFill>
                      <a:srgbClr val="000000"/>
                    </a:solidFill>
                    <a:latin typeface="Arial"/>
                  </a:defRPr>
                </a:pPr>
                <a:endParaRPr lang="en-FR"/>
              </a:p>
            </c:tx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'3 Stats.'!$I$5:$AQ$5</c:f>
              <c:numCache>
                <c:formatCode>_-* #\ ##0_-;\-* #\ ##0_-;_-* "-"??_-;_-@_-</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'3 Stats.'!$I$50:$AQ$50</c:f>
              <c:numCache>
                <c:formatCode>_-* #\ ##0_-;\-* #\ ##0_-;_-* "-"??_-;_-@_-</c:formatCode>
                <c:ptCount val="35"/>
                <c:pt idx="1">
                  <c:v>6933912.2628454268</c:v>
                </c:pt>
                <c:pt idx="2">
                  <c:v>10903280.468569636</c:v>
                </c:pt>
                <c:pt idx="3">
                  <c:v>13262378.192679539</c:v>
                </c:pt>
                <c:pt idx="4">
                  <c:v>14814169.089513347</c:v>
                </c:pt>
                <c:pt idx="5">
                  <c:v>16880188.768423423</c:v>
                </c:pt>
                <c:pt idx="6">
                  <c:v>18867300.454989865</c:v>
                </c:pt>
                <c:pt idx="7">
                  <c:v>20747939.739920959</c:v>
                </c:pt>
                <c:pt idx="8">
                  <c:v>22589710.332223371</c:v>
                </c:pt>
                <c:pt idx="9">
                  <c:v>24663653.3260791</c:v>
                </c:pt>
                <c:pt idx="10">
                  <c:v>26690742.565547615</c:v>
                </c:pt>
                <c:pt idx="11">
                  <c:v>28619147.873588964</c:v>
                </c:pt>
                <c:pt idx="12">
                  <c:v>30512977.697894886</c:v>
                </c:pt>
                <c:pt idx="13">
                  <c:v>32064006.05135268</c:v>
                </c:pt>
                <c:pt idx="14">
                  <c:v>33435427.30033727</c:v>
                </c:pt>
                <c:pt idx="15">
                  <c:v>34609088.042065188</c:v>
                </c:pt>
                <c:pt idx="16">
                  <c:v>35690610.938485548</c:v>
                </c:pt>
                <c:pt idx="17">
                  <c:v>36702324.576796755</c:v>
                </c:pt>
                <c:pt idx="18">
                  <c:v>37361176.335474506</c:v>
                </c:pt>
                <c:pt idx="19">
                  <c:v>37930889.22586672</c:v>
                </c:pt>
                <c:pt idx="20">
                  <c:v>38378024.888808981</c:v>
                </c:pt>
                <c:pt idx="21">
                  <c:v>38693565.084265187</c:v>
                </c:pt>
                <c:pt idx="22">
                  <c:v>38868163.086443976</c:v>
                </c:pt>
                <c:pt idx="23">
                  <c:v>38892133.773016214</c:v>
                </c:pt>
                <c:pt idx="24">
                  <c:v>38755443.440741748</c:v>
                </c:pt>
                <c:pt idx="25">
                  <c:v>38447699.34035635</c:v>
                </c:pt>
                <c:pt idx="26">
                  <c:v>37958138.923350781</c:v>
                </c:pt>
                <c:pt idx="27">
                  <c:v>37275618.793103606</c:v>
                </c:pt>
                <c:pt idx="28">
                  <c:v>36388603.352652997</c:v>
                </c:pt>
                <c:pt idx="29">
                  <c:v>35285153.141155958</c:v>
                </c:pt>
                <c:pt idx="30">
                  <c:v>33952912.850928277</c:v>
                </c:pt>
                <c:pt idx="31">
                  <c:v>32379099.016726553</c:v>
                </c:pt>
                <c:pt idx="32">
                  <c:v>30550487.368733674</c:v>
                </c:pt>
                <c:pt idx="33">
                  <c:v>28453399.840481341</c:v>
                </c:pt>
                <c:pt idx="34">
                  <c:v>26073691.222738981</c:v>
                </c:pt>
              </c:numCache>
            </c:numRef>
          </c:val>
          <c:smooth val="0"/>
          <c:extLst>
            <c:ext xmlns:c16="http://schemas.microsoft.com/office/drawing/2014/chart" uri="{C3380CC4-5D6E-409C-BE32-E72D297353CC}">
              <c16:uniqueId val="{00000000-43B7-C241-A61A-8F5181F0BC4F}"/>
            </c:ext>
          </c:extLst>
        </c:ser>
        <c:ser>
          <c:idx val="1"/>
          <c:order val="1"/>
          <c:tx>
            <c:strRef>
              <c:f>'3 Stats.'!$D$57:$H$57</c:f>
              <c:strCache>
                <c:ptCount val="5"/>
                <c:pt idx="0">
                  <c:v> Debt </c:v>
                </c:pt>
              </c:strCache>
            </c:strRef>
          </c:tx>
          <c:spPr>
            <a:ln>
              <a:solidFill>
                <a:srgbClr val="6B7280"/>
              </a:solidFill>
              <a:prstDash val="solid"/>
            </a:ln>
          </c:spPr>
          <c:marker>
            <c:symbol val="none"/>
          </c:marker>
          <c:dLbls>
            <c:spPr>
              <a:noFill/>
              <a:ln>
                <a:noFill/>
                <a:prstDash val="solid"/>
              </a:ln>
            </c:spPr>
            <c:txPr>
              <a:bodyPr wrap="square"/>
              <a:lstStyle/>
              <a:p>
                <a:pPr>
                  <a:defRPr sz="1000" b="0" strike="noStrike" spc="-1">
                    <a:solidFill>
                      <a:srgbClr val="000000"/>
                    </a:solidFill>
                    <a:latin typeface="Arial"/>
                  </a:defRPr>
                </a:pPr>
                <a:endParaRPr lang="en-FR"/>
              </a:p>
            </c:tx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'3 Stats.'!$I$5:$AQ$5</c:f>
              <c:numCache>
                <c:formatCode>_-* #\ ##0_-;\-* #\ ##0_-;_-* "-"??_-;_-@_-</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'3 Stats.'!$I$57:$AQ$57</c:f>
              <c:numCache>
                <c:formatCode>_-* #\ ##0_-;\-* #\ ##0_-;_-* "-"??_-;_-@_-</c:formatCode>
                <c:ptCount val="35"/>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01-43B7-C241-A61A-8F5181F0BC4F}"/>
            </c:ext>
          </c:extLst>
        </c:ser>
        <c:dLbls>
          <c:showLegendKey val="0"/>
          <c:showVal val="0"/>
          <c:showCatName val="0"/>
          <c:showSerName val="0"/>
          <c:showPercent val="0"/>
          <c:showBubbleSize val="0"/>
        </c:dLbls>
        <c:hiLowLines>
          <c:spPr>
            <a:ln w="0">
              <a:noFill/>
              <a:prstDash val="solid"/>
            </a:ln>
          </c:spPr>
        </c:hiLowLines>
        <c:smooth val="0"/>
        <c:axId val="38515137"/>
        <c:axId val="96335953"/>
      </c:lineChart>
      <c:catAx>
        <c:axId val="38515137"/>
        <c:scaling>
          <c:orientation val="minMax"/>
        </c:scaling>
        <c:delete val="0"/>
        <c:axPos val="b"/>
        <c:numFmt formatCode="General" sourceLinked="0"/>
        <c:majorTickMark val="none"/>
        <c:minorTickMark val="none"/>
        <c:tickLblPos val="nextTo"/>
        <c:spPr>
          <a:ln w="9360">
            <a:solidFill>
              <a:srgbClr val="D9D9D9"/>
            </a:solidFill>
            <a:prstDash val="solid"/>
            <a:round/>
          </a:ln>
        </c:spPr>
        <c:txPr>
          <a:bodyPr/>
          <a:lstStyle/>
          <a:p>
            <a:pPr>
              <a:defRPr sz="900" b="0" strike="noStrike" spc="-1">
                <a:solidFill>
                  <a:srgbClr val="595959"/>
                </a:solidFill>
                <a:latin typeface="Arial"/>
              </a:defRPr>
            </a:pPr>
            <a:endParaRPr lang="en-FR"/>
          </a:p>
        </c:txPr>
        <c:crossAx val="96335953"/>
        <c:crosses val="autoZero"/>
        <c:auto val="1"/>
        <c:lblAlgn val="ctr"/>
        <c:lblOffset val="100"/>
        <c:noMultiLvlLbl val="0"/>
      </c:catAx>
      <c:valAx>
        <c:axId val="96335953"/>
        <c:scaling>
          <c:orientation val="minMax"/>
        </c:scaling>
        <c:delete val="0"/>
        <c:axPos val="l"/>
        <c:majorGridlines>
          <c:spPr>
            <a:ln w="9360">
              <a:solidFill>
                <a:srgbClr val="D9D9D9"/>
              </a:solidFill>
              <a:prstDash val="solid"/>
              <a:round/>
            </a:ln>
          </c:spPr>
        </c:majorGridlines>
        <c:numFmt formatCode="\€#,##0" sourceLinked="0"/>
        <c:majorTickMark val="none"/>
        <c:minorTickMark val="none"/>
        <c:tickLblPos val="nextTo"/>
        <c:spPr>
          <a:ln w="9360">
            <a:noFill/>
            <a:prstDash val="solid"/>
          </a:ln>
        </c:spPr>
        <c:txPr>
          <a:bodyPr/>
          <a:lstStyle/>
          <a:p>
            <a:pPr>
              <a:defRPr sz="900" b="0" strike="noStrike" spc="-1">
                <a:solidFill>
                  <a:srgbClr val="595959"/>
                </a:solidFill>
                <a:latin typeface="Arial"/>
              </a:defRPr>
            </a:pPr>
            <a:endParaRPr lang="en-FR"/>
          </a:p>
        </c:txPr>
        <c:crossAx val="38515137"/>
        <c:crosses val="autoZero"/>
        <c:crossBetween val="between"/>
      </c:valAx>
    </c:plotArea>
    <c:legend>
      <c:legendPos val="b"/>
      <c:overlay val="0"/>
      <c:txPr>
        <a:bodyPr/>
        <a:lstStyle/>
        <a:p>
          <a:pPr>
            <a:defRPr sz="900" b="0">
              <a:solidFill>
                <a:srgbClr val="595959"/>
              </a:solidFill>
              <a:latin typeface="Arial"/>
            </a:defRPr>
          </a:pPr>
          <a:endParaRPr lang="en-FR"/>
        </a:p>
      </c:txPr>
    </c:legend>
    <c:plotVisOnly val="1"/>
    <c:dispBlanksAs val="gap"/>
    <c:showDLblsOverMax val="1"/>
  </c:chart>
  <c:spPr>
    <a:solidFill>
      <a:srgbClr val="FFFFFF"/>
    </a:solidFill>
    <a:ln w="9360">
      <a:solidFill>
        <a:srgbClr val="D9D9D9"/>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lang="en-GB" sz="1400" b="0" strike="noStrike" spc="-1">
                <a:solidFill>
                  <a:srgbClr val="595959"/>
                </a:solidFill>
                <a:latin typeface="Arial"/>
              </a:defRPr>
            </a:pPr>
            <a:r>
              <a:rPr lang="en-GB" sz="1400" b="0" strike="noStrike" spc="-1">
                <a:solidFill>
                  <a:srgbClr val="595959"/>
                </a:solidFill>
                <a:latin typeface="Arial"/>
              </a:rPr>
              <a:t>MWh Generation</a:t>
            </a:r>
          </a:p>
        </c:rich>
      </c:tx>
      <c:overlay val="0"/>
      <c:spPr>
        <a:noFill/>
        <a:ln w="0">
          <a:noFill/>
          <a:prstDash val="solid"/>
        </a:ln>
      </c:spPr>
    </c:title>
    <c:autoTitleDeleted val="0"/>
    <c:plotArea>
      <c:layout/>
      <c:lineChart>
        <c:grouping val="standard"/>
        <c:varyColors val="0"/>
        <c:ser>
          <c:idx val="0"/>
          <c:order val="0"/>
          <c:spPr>
            <a:ln>
              <a:solidFill>
                <a:srgbClr val="1D4ED8"/>
              </a:solidFill>
              <a:prstDash val="solid"/>
            </a:ln>
          </c:spPr>
          <c:marker>
            <c:symbol val="none"/>
          </c:marker>
          <c:dLbls>
            <c:spPr>
              <a:noFill/>
              <a:ln>
                <a:noFill/>
                <a:prstDash val="solid"/>
              </a:ln>
            </c:spPr>
            <c:txPr>
              <a:bodyPr wrap="square"/>
              <a:lstStyle/>
              <a:p>
                <a:pPr>
                  <a:defRPr sz="1000" b="0" strike="noStrike" spc="-1">
                    <a:solidFill>
                      <a:srgbClr val="000000"/>
                    </a:solidFill>
                    <a:latin typeface="Arial"/>
                  </a:defRPr>
                </a:pPr>
                <a:endParaRPr lang="en-FR"/>
              </a:p>
            </c:tx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Ops.!$J$5:$AQ$5</c:f>
              <c:numCache>
                <c:formatCode>General</c:formatCode>
                <c:ptCount val="3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pt idx="31">
                  <c:v>2058</c:v>
                </c:pt>
                <c:pt idx="32">
                  <c:v>2059</c:v>
                </c:pt>
                <c:pt idx="33">
                  <c:v>2060</c:v>
                </c:pt>
              </c:numCache>
            </c:numRef>
          </c:cat>
          <c:val>
            <c:numRef>
              <c:f>Ops.!$J$33:$AQ$33</c:f>
              <c:numCache>
                <c:formatCode>_-* #\ ##0_-;\-* #\ ##0_-;_-* "-"??_-;_-@_-</c:formatCode>
                <c:ptCount val="34"/>
                <c:pt idx="0">
                  <c:v>1482592.8120000002</c:v>
                </c:pt>
                <c:pt idx="1">
                  <c:v>1453353.3260655734</c:v>
                </c:pt>
                <c:pt idx="2">
                  <c:v>1387438.155</c:v>
                </c:pt>
                <c:pt idx="3">
                  <c:v>1306998.1589999998</c:v>
                </c:pt>
                <c:pt idx="4">
                  <c:v>1340839.5120000001</c:v>
                </c:pt>
                <c:pt idx="5">
                  <c:v>1323146.0772540984</c:v>
                </c:pt>
                <c:pt idx="6">
                  <c:v>1310975.7629999998</c:v>
                </c:pt>
                <c:pt idx="7">
                  <c:v>1310975.7629999998</c:v>
                </c:pt>
                <c:pt idx="8">
                  <c:v>1357574.4059999997</c:v>
                </c:pt>
                <c:pt idx="9">
                  <c:v>1358636.1940573766</c:v>
                </c:pt>
                <c:pt idx="10">
                  <c:v>1352038.6740000001</c:v>
                </c:pt>
                <c:pt idx="11">
                  <c:v>1357574.4059999997</c:v>
                </c:pt>
                <c:pt idx="12">
                  <c:v>1310975.7629999998</c:v>
                </c:pt>
                <c:pt idx="13">
                  <c:v>1293363.9231967214</c:v>
                </c:pt>
                <c:pt idx="14">
                  <c:v>1273475.7689999999</c:v>
                </c:pt>
                <c:pt idx="15">
                  <c:v>1273475.7689999999</c:v>
                </c:pt>
                <c:pt idx="16">
                  <c:v>1279011.5009999999</c:v>
                </c:pt>
                <c:pt idx="17">
                  <c:v>1233816.6175000002</c:v>
                </c:pt>
                <c:pt idx="18">
                  <c:v>1238400.4920000006</c:v>
                </c:pt>
                <c:pt idx="19">
                  <c:v>1238400.4920000006</c:v>
                </c:pt>
                <c:pt idx="20">
                  <c:v>1238400.4920000006</c:v>
                </c:pt>
                <c:pt idx="21">
                  <c:v>1238400.4920000006</c:v>
                </c:pt>
                <c:pt idx="22">
                  <c:v>1238400.4920000006</c:v>
                </c:pt>
                <c:pt idx="23">
                  <c:v>1238400.4920000006</c:v>
                </c:pt>
                <c:pt idx="24">
                  <c:v>1238400.4920000006</c:v>
                </c:pt>
                <c:pt idx="25">
                  <c:v>1238400.4920000006</c:v>
                </c:pt>
                <c:pt idx="26">
                  <c:v>1238400.4920000006</c:v>
                </c:pt>
                <c:pt idx="27">
                  <c:v>1238400.4920000006</c:v>
                </c:pt>
                <c:pt idx="28">
                  <c:v>1238400.4920000006</c:v>
                </c:pt>
                <c:pt idx="29">
                  <c:v>1238400.4920000006</c:v>
                </c:pt>
                <c:pt idx="30">
                  <c:v>1238400.4920000006</c:v>
                </c:pt>
                <c:pt idx="31">
                  <c:v>1238400.4920000006</c:v>
                </c:pt>
                <c:pt idx="32">
                  <c:v>1238400.4920000006</c:v>
                </c:pt>
                <c:pt idx="33">
                  <c:v>1238400.4920000006</c:v>
                </c:pt>
              </c:numCache>
            </c:numRef>
          </c:val>
          <c:smooth val="0"/>
          <c:extLst>
            <c:ext xmlns:c16="http://schemas.microsoft.com/office/drawing/2014/chart" uri="{C3380CC4-5D6E-409C-BE32-E72D297353CC}">
              <c16:uniqueId val="{00000000-69F0-7D4D-A795-9FC77DB523B0}"/>
            </c:ext>
          </c:extLst>
        </c:ser>
        <c:dLbls>
          <c:showLegendKey val="0"/>
          <c:showVal val="0"/>
          <c:showCatName val="0"/>
          <c:showSerName val="0"/>
          <c:showPercent val="0"/>
          <c:showBubbleSize val="0"/>
        </c:dLbls>
        <c:hiLowLines>
          <c:spPr>
            <a:ln w="0">
              <a:noFill/>
              <a:prstDash val="solid"/>
            </a:ln>
          </c:spPr>
        </c:hiLowLines>
        <c:smooth val="0"/>
        <c:axId val="73449509"/>
        <c:axId val="85602945"/>
      </c:lineChart>
      <c:catAx>
        <c:axId val="73449509"/>
        <c:scaling>
          <c:orientation val="minMax"/>
        </c:scaling>
        <c:delete val="0"/>
        <c:axPos val="b"/>
        <c:numFmt formatCode="General" sourceLinked="0"/>
        <c:majorTickMark val="none"/>
        <c:minorTickMark val="none"/>
        <c:tickLblPos val="nextTo"/>
        <c:spPr>
          <a:ln w="9360">
            <a:solidFill>
              <a:srgbClr val="D9D9D9"/>
            </a:solidFill>
            <a:prstDash val="solid"/>
            <a:round/>
          </a:ln>
        </c:spPr>
        <c:txPr>
          <a:bodyPr/>
          <a:lstStyle/>
          <a:p>
            <a:pPr>
              <a:defRPr sz="900" b="0" strike="noStrike" spc="-1">
                <a:solidFill>
                  <a:srgbClr val="595959"/>
                </a:solidFill>
                <a:latin typeface="Arial"/>
              </a:defRPr>
            </a:pPr>
            <a:endParaRPr lang="en-FR"/>
          </a:p>
        </c:txPr>
        <c:crossAx val="85602945"/>
        <c:crosses val="autoZero"/>
        <c:auto val="1"/>
        <c:lblAlgn val="ctr"/>
        <c:lblOffset val="100"/>
        <c:tickMarkSkip val="5"/>
        <c:noMultiLvlLbl val="0"/>
      </c:catAx>
      <c:valAx>
        <c:axId val="85602945"/>
        <c:scaling>
          <c:orientation val="minMax"/>
        </c:scaling>
        <c:delete val="0"/>
        <c:axPos val="l"/>
        <c:majorGridlines>
          <c:spPr>
            <a:ln w="9360">
              <a:solidFill>
                <a:srgbClr val="D9D9D9"/>
              </a:solidFill>
              <a:prstDash val="solid"/>
              <a:round/>
            </a:ln>
          </c:spPr>
        </c:majorGridlines>
        <c:numFmt formatCode="#,##0" sourceLinked="0"/>
        <c:majorTickMark val="none"/>
        <c:minorTickMark val="none"/>
        <c:tickLblPos val="nextTo"/>
        <c:spPr>
          <a:ln w="9360">
            <a:noFill/>
            <a:prstDash val="solid"/>
          </a:ln>
        </c:spPr>
        <c:txPr>
          <a:bodyPr/>
          <a:lstStyle/>
          <a:p>
            <a:pPr>
              <a:defRPr sz="900" b="0" strike="noStrike" spc="-1">
                <a:solidFill>
                  <a:srgbClr val="595959"/>
                </a:solidFill>
                <a:latin typeface="Arial"/>
              </a:defRPr>
            </a:pPr>
            <a:endParaRPr lang="en-FR"/>
          </a:p>
        </c:txPr>
        <c:crossAx val="73449509"/>
        <c:crosses val="autoZero"/>
        <c:crossBetween val="between"/>
      </c:valAx>
    </c:plotArea>
    <c:legend>
      <c:legendPos val="b"/>
      <c:overlay val="0"/>
      <c:txPr>
        <a:bodyPr/>
        <a:lstStyle/>
        <a:p>
          <a:pPr>
            <a:defRPr sz="900" b="0">
              <a:solidFill>
                <a:srgbClr val="595959"/>
              </a:solidFill>
              <a:latin typeface="Arial"/>
            </a:defRPr>
          </a:pPr>
          <a:endParaRPr lang="en-FR"/>
        </a:p>
      </c:txPr>
    </c:legend>
    <c:plotVisOnly val="1"/>
    <c:dispBlanksAs val="gap"/>
    <c:showDLblsOverMax val="1"/>
  </c:chart>
  <c:spPr>
    <a:noFill/>
    <a:ln w="9360">
      <a:solidFill>
        <a:srgbClr val="D9D9D9"/>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lang="en-US" sz="1400" b="0" strike="noStrike" spc="-1">
                <a:solidFill>
                  <a:srgbClr val="595959"/>
                </a:solidFill>
                <a:latin typeface="Arial"/>
              </a:defRPr>
            </a:pPr>
            <a:r>
              <a:rPr lang="en-US" sz="1400" b="0" strike="noStrike" spc="-1">
                <a:solidFill>
                  <a:srgbClr val="595959"/>
                </a:solidFill>
                <a:latin typeface="Arial"/>
              </a:rPr>
              <a:t>EBITDA &amp; FCF</a:t>
            </a:r>
          </a:p>
        </c:rich>
      </c:tx>
      <c:overlay val="0"/>
      <c:spPr>
        <a:noFill/>
        <a:ln w="0">
          <a:noFill/>
          <a:prstDash val="solid"/>
        </a:ln>
      </c:spPr>
    </c:title>
    <c:autoTitleDeleted val="0"/>
    <c:plotArea>
      <c:layout/>
      <c:areaChart>
        <c:grouping val="stacked"/>
        <c:varyColors val="1"/>
        <c:ser>
          <c:idx val="0"/>
          <c:order val="0"/>
          <c:tx>
            <c:strRef>
              <c:f>'3 Stats.'!$C$18:$H$18</c:f>
              <c:strCache>
                <c:ptCount val="6"/>
                <c:pt idx="0">
                  <c:v> EBITDA </c:v>
                </c:pt>
              </c:strCache>
            </c:strRef>
          </c:tx>
          <c:spPr>
            <a:solidFill>
              <a:srgbClr val="1D4ED8"/>
            </a:solidFill>
            <a:ln>
              <a:solidFill>
                <a:srgbClr val="1D4ED8"/>
              </a:solidFill>
              <a:prstDash val="solid"/>
            </a:ln>
          </c:spPr>
          <c:dLbls>
            <c:spPr>
              <a:noFill/>
              <a:ln>
                <a:noFill/>
                <a:prstDash val="solid"/>
              </a:ln>
            </c:spPr>
            <c:txPr>
              <a:bodyPr wrap="square"/>
              <a:lstStyle/>
              <a:p>
                <a:pPr>
                  <a:defRPr sz="1000" b="0" strike="noStrike" spc="-1">
                    <a:solidFill>
                      <a:srgbClr val="000000"/>
                    </a:solidFill>
                    <a:latin typeface="Arial"/>
                  </a:defRPr>
                </a:pPr>
                <a:endParaRPr lang="en-FR"/>
              </a:p>
            </c:tx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'3 Stats.'!$I$5:$AQ$5</c:f>
              <c:numCache>
                <c:formatCode>_-* #\ ##0_-;\-* #\ ##0_-;_-* "-"??_-;_-@_-</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'3 Stats.'!$I$18:$AQ$18</c:f>
              <c:numCache>
                <c:formatCode>_-* #\ ##0_-;\-* #\ ##0_-;_-* "-"??_-;_-@_-</c:formatCode>
                <c:ptCount val="35"/>
                <c:pt idx="1">
                  <c:v>6933912.2628454268</c:v>
                </c:pt>
                <c:pt idx="2">
                  <c:v>3969368.2057242095</c:v>
                </c:pt>
                <c:pt idx="3">
                  <c:v>2359097.724109903</c:v>
                </c:pt>
                <c:pt idx="4">
                  <c:v>1551790.8968338072</c:v>
                </c:pt>
                <c:pt idx="5">
                  <c:v>2066019.6789100766</c:v>
                </c:pt>
                <c:pt idx="6">
                  <c:v>1987111.6865664423</c:v>
                </c:pt>
                <c:pt idx="7">
                  <c:v>1880639.2849310935</c:v>
                </c:pt>
                <c:pt idx="8">
                  <c:v>1841770.5923024118</c:v>
                </c:pt>
                <c:pt idx="9">
                  <c:v>2073942.9938557297</c:v>
                </c:pt>
                <c:pt idx="10">
                  <c:v>2027089.2394685149</c:v>
                </c:pt>
                <c:pt idx="11">
                  <c:v>1928405.3080413491</c:v>
                </c:pt>
                <c:pt idx="12">
                  <c:v>1893829.8243059218</c:v>
                </c:pt>
                <c:pt idx="13">
                  <c:v>1551028.3534577936</c:v>
                </c:pt>
                <c:pt idx="14">
                  <c:v>1371421.2489845902</c:v>
                </c:pt>
                <c:pt idx="15">
                  <c:v>1173660.7417279184</c:v>
                </c:pt>
                <c:pt idx="16">
                  <c:v>1081522.8964203596</c:v>
                </c:pt>
                <c:pt idx="17">
                  <c:v>1011713.6383112073</c:v>
                </c:pt>
                <c:pt idx="18">
                  <c:v>658851.75867775083</c:v>
                </c:pt>
                <c:pt idx="19">
                  <c:v>569712.89039221406</c:v>
                </c:pt>
                <c:pt idx="20">
                  <c:v>447135.6629422605</c:v>
                </c:pt>
                <c:pt idx="21">
                  <c:v>315540.1954562068</c:v>
                </c:pt>
                <c:pt idx="22">
                  <c:v>174598.00217878819</c:v>
                </c:pt>
                <c:pt idx="23">
                  <c:v>23970.686572238803</c:v>
                </c:pt>
                <c:pt idx="24">
                  <c:v>-136690.33227446675</c:v>
                </c:pt>
                <c:pt idx="25">
                  <c:v>-307744.10038539767</c:v>
                </c:pt>
                <c:pt idx="26">
                  <c:v>-489560.41700556874</c:v>
                </c:pt>
                <c:pt idx="27">
                  <c:v>-682520.13024717569</c:v>
                </c:pt>
                <c:pt idx="28">
                  <c:v>-887015.44045060873</c:v>
                </c:pt>
                <c:pt idx="29">
                  <c:v>-1103450.2114970386</c:v>
                </c:pt>
                <c:pt idx="30">
                  <c:v>-1332240.2902276814</c:v>
                </c:pt>
                <c:pt idx="31">
                  <c:v>-1573813.8342017233</c:v>
                </c:pt>
                <c:pt idx="32">
                  <c:v>-1828611.6479928792</c:v>
                </c:pt>
                <c:pt idx="33">
                  <c:v>-2097087.5282523334</c:v>
                </c:pt>
                <c:pt idx="34">
                  <c:v>-2379708.6177423596</c:v>
                </c:pt>
              </c:numCache>
            </c:numRef>
          </c:val>
          <c:extLst>
            <c:ext xmlns:c16="http://schemas.microsoft.com/office/drawing/2014/chart" uri="{C3380CC4-5D6E-409C-BE32-E72D297353CC}">
              <c16:uniqueId val="{00000000-7528-9344-A6D7-3321BFBF4E23}"/>
            </c:ext>
          </c:extLst>
        </c:ser>
        <c:ser>
          <c:idx val="1"/>
          <c:order val="1"/>
          <c:tx>
            <c:strRef>
              <c:f>'3 Stats.'!$C$27:$H$27</c:f>
              <c:strCache>
                <c:ptCount val="6"/>
                <c:pt idx="0">
                  <c:v> Free Cash Flow </c:v>
                </c:pt>
              </c:strCache>
            </c:strRef>
          </c:tx>
          <c:spPr>
            <a:solidFill>
              <a:srgbClr val="6B7280"/>
            </a:solidFill>
            <a:ln>
              <a:solidFill>
                <a:srgbClr val="6B7280"/>
              </a:solidFill>
              <a:prstDash val="solid"/>
            </a:ln>
          </c:spPr>
          <c:dLbls>
            <c:spPr>
              <a:noFill/>
              <a:ln>
                <a:noFill/>
                <a:prstDash val="solid"/>
              </a:ln>
            </c:spPr>
            <c:txPr>
              <a:bodyPr wrap="square"/>
              <a:lstStyle/>
              <a:p>
                <a:pPr>
                  <a:defRPr sz="1000" b="0" strike="noStrike" spc="-1">
                    <a:solidFill>
                      <a:srgbClr val="000000"/>
                    </a:solidFill>
                    <a:latin typeface="Arial"/>
                  </a:defRPr>
                </a:pPr>
                <a:endParaRPr lang="en-FR"/>
              </a:p>
            </c:tx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'3 Stats.'!$I$5:$AQ$5</c:f>
              <c:numCache>
                <c:formatCode>_-* #\ ##0_-;\-* #\ ##0_-;_-* "-"??_-;_-@_-</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'3 Stats.'!$I$27:$AQ$27</c:f>
              <c:numCache>
                <c:formatCode>_-* #\ ##0_-;\-* #\ ##0_-;_-* "-"??_-;_-@_-</c:formatCode>
                <c:ptCount val="35"/>
                <c:pt idx="1">
                  <c:v>6933912.2628454268</c:v>
                </c:pt>
                <c:pt idx="2">
                  <c:v>3969368.2057242095</c:v>
                </c:pt>
                <c:pt idx="3">
                  <c:v>2359097.724109903</c:v>
                </c:pt>
                <c:pt idx="4">
                  <c:v>1551790.8968338072</c:v>
                </c:pt>
                <c:pt idx="5">
                  <c:v>2066019.6789100766</c:v>
                </c:pt>
                <c:pt idx="6">
                  <c:v>1987111.6865664423</c:v>
                </c:pt>
                <c:pt idx="7">
                  <c:v>1880639.2849310935</c:v>
                </c:pt>
                <c:pt idx="8">
                  <c:v>1841770.5923024118</c:v>
                </c:pt>
                <c:pt idx="9">
                  <c:v>2073942.9938557297</c:v>
                </c:pt>
                <c:pt idx="10">
                  <c:v>2027089.2394685149</c:v>
                </c:pt>
                <c:pt idx="11">
                  <c:v>1928405.3080413491</c:v>
                </c:pt>
                <c:pt idx="12">
                  <c:v>1893829.8243059218</c:v>
                </c:pt>
                <c:pt idx="13">
                  <c:v>1551028.3534577936</c:v>
                </c:pt>
                <c:pt idx="14">
                  <c:v>1371421.2489845902</c:v>
                </c:pt>
                <c:pt idx="15">
                  <c:v>1173660.7417279184</c:v>
                </c:pt>
                <c:pt idx="16">
                  <c:v>1081522.8964203596</c:v>
                </c:pt>
                <c:pt idx="17">
                  <c:v>1011713.6383112073</c:v>
                </c:pt>
                <c:pt idx="18">
                  <c:v>658851.75867775083</c:v>
                </c:pt>
                <c:pt idx="19">
                  <c:v>569712.89039221406</c:v>
                </c:pt>
                <c:pt idx="20">
                  <c:v>447135.6629422605</c:v>
                </c:pt>
                <c:pt idx="21">
                  <c:v>315540.1954562068</c:v>
                </c:pt>
                <c:pt idx="22">
                  <c:v>174598.00217878819</c:v>
                </c:pt>
                <c:pt idx="23">
                  <c:v>23970.686572238803</c:v>
                </c:pt>
                <c:pt idx="24">
                  <c:v>-136690.33227446489</c:v>
                </c:pt>
                <c:pt idx="25">
                  <c:v>-307744.10038539581</c:v>
                </c:pt>
                <c:pt idx="26">
                  <c:v>-489560.41700556688</c:v>
                </c:pt>
                <c:pt idx="27">
                  <c:v>-682520.13024717383</c:v>
                </c:pt>
                <c:pt idx="28">
                  <c:v>-887015.44045060687</c:v>
                </c:pt>
                <c:pt idx="29">
                  <c:v>-1103450.2114970367</c:v>
                </c:pt>
                <c:pt idx="30">
                  <c:v>-1332240.2902276795</c:v>
                </c:pt>
                <c:pt idx="31">
                  <c:v>-1573813.8342017215</c:v>
                </c:pt>
                <c:pt idx="32">
                  <c:v>-1828611.6479928773</c:v>
                </c:pt>
                <c:pt idx="33">
                  <c:v>-2097087.5282523315</c:v>
                </c:pt>
                <c:pt idx="34">
                  <c:v>-2379708.6177423578</c:v>
                </c:pt>
              </c:numCache>
            </c:numRef>
          </c:val>
          <c:extLst>
            <c:ext xmlns:c16="http://schemas.microsoft.com/office/drawing/2014/chart" uri="{C3380CC4-5D6E-409C-BE32-E72D297353CC}">
              <c16:uniqueId val="{00000001-7528-9344-A6D7-3321BFBF4E23}"/>
            </c:ext>
          </c:extLst>
        </c:ser>
        <c:dLbls>
          <c:showLegendKey val="0"/>
          <c:showVal val="0"/>
          <c:showCatName val="0"/>
          <c:showSerName val="0"/>
          <c:showPercent val="0"/>
          <c:showBubbleSize val="0"/>
        </c:dLbls>
        <c:axId val="10"/>
        <c:axId val="100"/>
      </c:areaChart>
      <c:catAx>
        <c:axId val="10"/>
        <c:scaling>
          <c:orientation val="minMax"/>
        </c:scaling>
        <c:delete val="1"/>
        <c:axPos val="b"/>
        <c:numFmt formatCode="_-* #\ ##0_-;\-* #\ ##0_-;_-* &quot;-&quot;??_-;_-@_-"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midCat"/>
      </c:valAx>
    </c:plotArea>
    <c:legend>
      <c:legendPos val="b"/>
      <c:overlay val="0"/>
      <c:txPr>
        <a:bodyPr/>
        <a:lstStyle/>
        <a:p>
          <a:pPr>
            <a:defRPr sz="900" b="0">
              <a:solidFill>
                <a:srgbClr val="595959"/>
              </a:solidFill>
              <a:latin typeface="Arial"/>
            </a:defRPr>
          </a:pPr>
          <a:endParaRPr lang="en-FR"/>
        </a:p>
      </c:txPr>
    </c:legend>
    <c:plotVisOnly val="1"/>
    <c:dispBlanksAs val="gap"/>
    <c:showDLblsOverMax val="1"/>
  </c:chart>
  <c:spPr>
    <a:noFill/>
    <a:ln w="9360">
      <a:solidFill>
        <a:srgbClr val="D9D9D9"/>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a:lstStyle/>
          <a:p>
            <a:pPr>
              <a:defRPr lang="de-DE" sz="1400" b="0" strike="noStrike" spc="-1">
                <a:solidFill>
                  <a:srgbClr val="595959"/>
                </a:solidFill>
                <a:latin typeface="Arial"/>
              </a:defRPr>
            </a:pPr>
            <a:r>
              <a:rPr lang="de-DE" sz="1400" b="0" strike="noStrike" spc="-1">
                <a:solidFill>
                  <a:srgbClr val="595959"/>
                </a:solidFill>
                <a:latin typeface="Arial"/>
              </a:rPr>
              <a:t>Ratios</a:t>
            </a:r>
          </a:p>
        </c:rich>
      </c:tx>
      <c:overlay val="0"/>
      <c:spPr>
        <a:noFill/>
        <a:ln w="0">
          <a:noFill/>
          <a:prstDash val="solid"/>
        </a:ln>
      </c:spPr>
    </c:title>
    <c:autoTitleDeleted val="0"/>
    <c:plotArea>
      <c:layout/>
      <c:lineChart>
        <c:grouping val="standard"/>
        <c:varyColors val="0"/>
        <c:ser>
          <c:idx val="0"/>
          <c:order val="0"/>
          <c:tx>
            <c:strRef>
              <c:f>Gear.!$D$26:$H$26</c:f>
              <c:strCache>
                <c:ptCount val="5"/>
                <c:pt idx="0">
                  <c:v>DSCR</c:v>
                </c:pt>
              </c:strCache>
            </c:strRef>
          </c:tx>
          <c:spPr>
            <a:ln>
              <a:solidFill>
                <a:srgbClr val="1D4ED8"/>
              </a:solidFill>
              <a:prstDash val="solid"/>
            </a:ln>
          </c:spPr>
          <c:marker>
            <c:symbol val="none"/>
          </c:marker>
          <c:dLbls>
            <c:spPr>
              <a:noFill/>
              <a:ln>
                <a:noFill/>
                <a:prstDash val="solid"/>
              </a:ln>
            </c:spPr>
            <c:txPr>
              <a:bodyPr wrap="square"/>
              <a:lstStyle/>
              <a:p>
                <a:pPr>
                  <a:defRPr sz="1000" b="0" strike="noStrike" spc="-1">
                    <a:solidFill>
                      <a:srgbClr val="000000"/>
                    </a:solidFill>
                    <a:latin typeface="Arial"/>
                  </a:defRPr>
                </a:pPr>
                <a:endParaRPr lang="en-FR"/>
              </a:p>
            </c:tx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Gear.!$I$5:$AQ$5</c:f>
              <c:numCache>
                <c:formatCode>General</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Gear.!$I$26:$AQ$26</c:f>
              <c:numCache>
                <c:formatCode>0.00\x</c:formatCode>
                <c:ptCount val="35"/>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00-CFFA-DF43-8FA4-96DF3979901B}"/>
            </c:ext>
          </c:extLst>
        </c:ser>
        <c:ser>
          <c:idx val="1"/>
          <c:order val="1"/>
          <c:tx>
            <c:strRef>
              <c:f>Gear.!$D$27:$H$27</c:f>
              <c:strCache>
                <c:ptCount val="5"/>
                <c:pt idx="0">
                  <c:v>ICR</c:v>
                </c:pt>
              </c:strCache>
            </c:strRef>
          </c:tx>
          <c:spPr>
            <a:ln>
              <a:solidFill>
                <a:srgbClr val="6B7280"/>
              </a:solidFill>
              <a:prstDash val="solid"/>
            </a:ln>
          </c:spPr>
          <c:marker>
            <c:symbol val="none"/>
          </c:marker>
          <c:dLbls>
            <c:spPr>
              <a:noFill/>
              <a:ln>
                <a:noFill/>
                <a:prstDash val="solid"/>
              </a:ln>
            </c:spPr>
            <c:txPr>
              <a:bodyPr wrap="square"/>
              <a:lstStyle/>
              <a:p>
                <a:pPr>
                  <a:defRPr sz="1000" b="0" strike="noStrike" spc="-1">
                    <a:solidFill>
                      <a:srgbClr val="000000"/>
                    </a:solidFill>
                    <a:latin typeface="Arial"/>
                  </a:defRPr>
                </a:pPr>
                <a:endParaRPr lang="en-FR"/>
              </a:p>
            </c:tx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Gear.!$I$5:$AQ$5</c:f>
              <c:numCache>
                <c:formatCode>General</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Gear.!$I$27:$AQ$27</c:f>
              <c:numCache>
                <c:formatCode>0.00\x</c:formatCode>
                <c:ptCount val="35"/>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01-CFFA-DF43-8FA4-96DF3979901B}"/>
            </c:ext>
          </c:extLst>
        </c:ser>
        <c:ser>
          <c:idx val="2"/>
          <c:order val="2"/>
          <c:tx>
            <c:strRef>
              <c:f>Gear.!$D$28:$H$28</c:f>
              <c:strCache>
                <c:ptCount val="5"/>
                <c:pt idx="0">
                  <c:v>Leverage ratio</c:v>
                </c:pt>
              </c:strCache>
            </c:strRef>
          </c:tx>
          <c:spPr>
            <a:ln>
              <a:solidFill>
                <a:srgbClr val="EA580C"/>
              </a:solidFill>
              <a:prstDash val="solid"/>
            </a:ln>
          </c:spPr>
          <c:marker>
            <c:symbol val="none"/>
          </c:marker>
          <c:dLbls>
            <c:spPr>
              <a:noFill/>
              <a:ln>
                <a:noFill/>
                <a:prstDash val="solid"/>
              </a:ln>
            </c:spPr>
            <c:txPr>
              <a:bodyPr wrap="square"/>
              <a:lstStyle/>
              <a:p>
                <a:pPr>
                  <a:defRPr sz="1000" b="0" strike="noStrike" spc="-1">
                    <a:solidFill>
                      <a:srgbClr val="000000"/>
                    </a:solidFill>
                    <a:latin typeface="Arial"/>
                  </a:defRPr>
                </a:pPr>
                <a:endParaRPr lang="en-FR"/>
              </a:p>
            </c:tx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Gear.!$I$5:$AQ$5</c:f>
              <c:numCache>
                <c:formatCode>General</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Gear.!$I$28:$AQ$28</c:f>
              <c:numCache>
                <c:formatCode>0.00\x</c:formatCode>
                <c:ptCount val="35"/>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02-CFFA-DF43-8FA4-96DF3979901B}"/>
            </c:ext>
          </c:extLst>
        </c:ser>
        <c:dLbls>
          <c:showLegendKey val="0"/>
          <c:showVal val="0"/>
          <c:showCatName val="0"/>
          <c:showSerName val="0"/>
          <c:showPercent val="0"/>
          <c:showBubbleSize val="0"/>
        </c:dLbls>
        <c:hiLowLines>
          <c:spPr>
            <a:ln w="0">
              <a:noFill/>
              <a:prstDash val="solid"/>
            </a:ln>
          </c:spPr>
        </c:hiLowLines>
        <c:smooth val="0"/>
        <c:axId val="70313233"/>
        <c:axId val="91902692"/>
      </c:lineChart>
      <c:catAx>
        <c:axId val="70313233"/>
        <c:scaling>
          <c:orientation val="minMax"/>
        </c:scaling>
        <c:delete val="0"/>
        <c:axPos val="b"/>
        <c:numFmt formatCode="General" sourceLinked="0"/>
        <c:majorTickMark val="none"/>
        <c:minorTickMark val="none"/>
        <c:tickLblPos val="nextTo"/>
        <c:spPr>
          <a:ln w="9360">
            <a:solidFill>
              <a:srgbClr val="D9D9D9"/>
            </a:solidFill>
            <a:prstDash val="solid"/>
            <a:round/>
          </a:ln>
        </c:spPr>
        <c:txPr>
          <a:bodyPr/>
          <a:lstStyle/>
          <a:p>
            <a:pPr>
              <a:defRPr sz="900" b="0" strike="noStrike" spc="-1">
                <a:solidFill>
                  <a:srgbClr val="595959"/>
                </a:solidFill>
                <a:latin typeface="Arial"/>
              </a:defRPr>
            </a:pPr>
            <a:endParaRPr lang="en-FR"/>
          </a:p>
        </c:txPr>
        <c:crossAx val="91902692"/>
        <c:crosses val="autoZero"/>
        <c:auto val="1"/>
        <c:lblAlgn val="ctr"/>
        <c:lblOffset val="100"/>
        <c:noMultiLvlLbl val="0"/>
      </c:catAx>
      <c:valAx>
        <c:axId val="91902692"/>
        <c:scaling>
          <c:orientation val="minMax"/>
        </c:scaling>
        <c:delete val="0"/>
        <c:axPos val="l"/>
        <c:majorGridlines>
          <c:spPr>
            <a:ln w="9360">
              <a:solidFill>
                <a:srgbClr val="D9D9D9"/>
              </a:solidFill>
              <a:prstDash val="solid"/>
              <a:round/>
            </a:ln>
          </c:spPr>
        </c:majorGridlines>
        <c:numFmt formatCode="0.00" sourceLinked="0"/>
        <c:majorTickMark val="none"/>
        <c:minorTickMark val="none"/>
        <c:tickLblPos val="nextTo"/>
        <c:spPr>
          <a:ln w="9360">
            <a:noFill/>
            <a:prstDash val="solid"/>
          </a:ln>
        </c:spPr>
        <c:txPr>
          <a:bodyPr/>
          <a:lstStyle/>
          <a:p>
            <a:pPr>
              <a:defRPr sz="900" b="0" strike="noStrike" spc="-1">
                <a:solidFill>
                  <a:srgbClr val="595959"/>
                </a:solidFill>
                <a:latin typeface="Arial"/>
              </a:defRPr>
            </a:pPr>
            <a:endParaRPr lang="en-FR"/>
          </a:p>
        </c:txPr>
        <c:crossAx val="70313233"/>
        <c:crosses val="autoZero"/>
        <c:crossBetween val="between"/>
      </c:valAx>
    </c:plotArea>
    <c:legend>
      <c:legendPos val="b"/>
      <c:overlay val="0"/>
      <c:txPr>
        <a:bodyPr/>
        <a:lstStyle/>
        <a:p>
          <a:pPr>
            <a:defRPr sz="900" b="0">
              <a:solidFill>
                <a:srgbClr val="595959"/>
              </a:solidFill>
              <a:latin typeface="Arial"/>
            </a:defRPr>
          </a:pPr>
          <a:endParaRPr lang="en-FR"/>
        </a:p>
      </c:txPr>
    </c:legend>
    <c:plotVisOnly val="1"/>
    <c:dispBlanksAs val="gap"/>
    <c:showDLblsOverMax val="1"/>
  </c:chart>
  <c:spPr>
    <a:noFill/>
    <a:ln w="9360">
      <a:solidFill>
        <a:srgbClr val="D9D9D9"/>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de-DE"/>
              <a:t>Supply mix</a:t>
            </a:r>
          </a:p>
        </c:rich>
      </c:tx>
      <c:overlay val="0"/>
      <c:spPr>
        <a:noFill/>
        <a:ln>
          <a:noFill/>
          <a:prstDash val="solid"/>
        </a:ln>
      </c:spPr>
    </c:title>
    <c:autoTitleDeleted val="0"/>
    <c:plotArea>
      <c:layout/>
      <c:lineChart>
        <c:grouping val="standard"/>
        <c:varyColors val="0"/>
        <c:ser>
          <c:idx val="0"/>
          <c:order val="0"/>
          <c:tx>
            <c:strRef>
              <c:f>'Gas prc.'!$C$17:$H$17</c:f>
              <c:strCache>
                <c:ptCount val="6"/>
                <c:pt idx="0">
                  <c:v>Gas share — IM selected S_gas_sel (O)</c:v>
                </c:pt>
              </c:strCache>
            </c:strRef>
          </c:tx>
          <c:spPr>
            <a:ln>
              <a:solidFill>
                <a:srgbClr val="1D4ED8"/>
              </a:solidFill>
              <a:prstDash val="solid"/>
            </a:ln>
          </c:spPr>
          <c:marker>
            <c:symbol val="none"/>
          </c:marker>
          <c:cat>
            <c:numRef>
              <c:f>'Gas prc.'!$I$5:$AQ$5</c:f>
              <c:numCache>
                <c:formatCode>General</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'Gas prc.'!$I$17:$AQ$17</c:f>
              <c:numCache>
                <c:formatCode>0.0%</c:formatCode>
                <c:ptCount val="35"/>
                <c:pt idx="1">
                  <c:v>0.33849150958904112</c:v>
                </c:pt>
                <c:pt idx="2">
                  <c:v>0.33181582786885239</c:v>
                </c:pt>
                <c:pt idx="3">
                  <c:v>0.31676670205479451</c:v>
                </c:pt>
                <c:pt idx="4">
                  <c:v>0.29840140616438349</c:v>
                </c:pt>
                <c:pt idx="5">
                  <c:v>0.30612774246575342</c:v>
                </c:pt>
                <c:pt idx="6">
                  <c:v>0.30208814549180329</c:v>
                </c:pt>
                <c:pt idx="7">
                  <c:v>0.2993095349315068</c:v>
                </c:pt>
                <c:pt idx="8">
                  <c:v>0.2993095349315068</c:v>
                </c:pt>
                <c:pt idx="9">
                  <c:v>0.3099484945205479</c:v>
                </c:pt>
                <c:pt idx="10">
                  <c:v>0.31019091188524578</c:v>
                </c:pt>
                <c:pt idx="11">
                  <c:v>0.30868462876712333</c:v>
                </c:pt>
                <c:pt idx="12">
                  <c:v>0.3099484945205479</c:v>
                </c:pt>
                <c:pt idx="13">
                  <c:v>0.2993095349315068</c:v>
                </c:pt>
                <c:pt idx="14">
                  <c:v>0.2952885669398907</c:v>
                </c:pt>
                <c:pt idx="15">
                  <c:v>0.29074789246575339</c:v>
                </c:pt>
                <c:pt idx="16">
                  <c:v>0.29074789246575339</c:v>
                </c:pt>
                <c:pt idx="17">
                  <c:v>0.29201175821917807</c:v>
                </c:pt>
                <c:pt idx="18">
                  <c:v>0.28169329166666668</c:v>
                </c:pt>
                <c:pt idx="19">
                  <c:v>0.28273983835616451</c:v>
                </c:pt>
                <c:pt idx="20">
                  <c:v>0.28273983835616451</c:v>
                </c:pt>
                <c:pt idx="21">
                  <c:v>0.28273983835616451</c:v>
                </c:pt>
                <c:pt idx="22">
                  <c:v>0.28273983835616451</c:v>
                </c:pt>
                <c:pt idx="23">
                  <c:v>0.28273983835616451</c:v>
                </c:pt>
                <c:pt idx="24">
                  <c:v>0.28273983835616451</c:v>
                </c:pt>
                <c:pt idx="25">
                  <c:v>0.28273983835616451</c:v>
                </c:pt>
                <c:pt idx="26">
                  <c:v>0.28273983835616451</c:v>
                </c:pt>
                <c:pt idx="27">
                  <c:v>0.28273983835616451</c:v>
                </c:pt>
                <c:pt idx="28">
                  <c:v>0.28273983835616451</c:v>
                </c:pt>
                <c:pt idx="29">
                  <c:v>0.28273983835616451</c:v>
                </c:pt>
                <c:pt idx="30">
                  <c:v>0.28273983835616451</c:v>
                </c:pt>
                <c:pt idx="31">
                  <c:v>0.28273983835616451</c:v>
                </c:pt>
                <c:pt idx="32">
                  <c:v>0.28273983835616451</c:v>
                </c:pt>
                <c:pt idx="33">
                  <c:v>0.28273983835616451</c:v>
                </c:pt>
                <c:pt idx="34">
                  <c:v>0.28273983835616451</c:v>
                </c:pt>
              </c:numCache>
            </c:numRef>
          </c:val>
          <c:smooth val="0"/>
          <c:extLst>
            <c:ext xmlns:c16="http://schemas.microsoft.com/office/drawing/2014/chart" uri="{C3380CC4-5D6E-409C-BE32-E72D297353CC}">
              <c16:uniqueId val="{00000000-8F26-8E46-A93D-CAF80790428E}"/>
            </c:ext>
          </c:extLst>
        </c:ser>
        <c:ser>
          <c:idx val="1"/>
          <c:order val="1"/>
          <c:tx>
            <c:strRef>
              <c:f>'Gas prc.'!$C$18:$H$18</c:f>
              <c:strCache>
                <c:ptCount val="6"/>
                <c:pt idx="0">
                  <c:v>Res share — IM selected S_res_sel (P)</c:v>
                </c:pt>
              </c:strCache>
            </c:strRef>
          </c:tx>
          <c:spPr>
            <a:ln>
              <a:solidFill>
                <a:srgbClr val="6B7280"/>
              </a:solidFill>
              <a:prstDash val="solid"/>
            </a:ln>
          </c:spPr>
          <c:marker>
            <c:symbol val="none"/>
          </c:marker>
          <c:cat>
            <c:numRef>
              <c:f>'Gas prc.'!$I$5:$AQ$5</c:f>
              <c:numCache>
                <c:formatCode>General</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'Gas prc.'!$I$18:$AQ$18</c:f>
              <c:numCache>
                <c:formatCode>0.0%</c:formatCode>
                <c:ptCount val="35"/>
                <c:pt idx="1">
                  <c:v>0.52795574931506861</c:v>
                </c:pt>
                <c:pt idx="2">
                  <c:v>0.51243263387978155</c:v>
                </c:pt>
                <c:pt idx="3">
                  <c:v>0.48237677602739731</c:v>
                </c:pt>
                <c:pt idx="4">
                  <c:v>0.49462163630136979</c:v>
                </c:pt>
                <c:pt idx="5">
                  <c:v>0.48860485342465748</c:v>
                </c:pt>
                <c:pt idx="6">
                  <c:v>0.46853773019125688</c:v>
                </c:pt>
                <c:pt idx="7">
                  <c:v>0.47103758561643833</c:v>
                </c:pt>
                <c:pt idx="8">
                  <c:v>0.47103758561643833</c:v>
                </c:pt>
                <c:pt idx="9">
                  <c:v>0.4648095082191781</c:v>
                </c:pt>
                <c:pt idx="10">
                  <c:v>0.46512004439890708</c:v>
                </c:pt>
                <c:pt idx="11">
                  <c:v>0.46621767534246578</c:v>
                </c:pt>
                <c:pt idx="12">
                  <c:v>0.4648095082191781</c:v>
                </c:pt>
                <c:pt idx="13">
                  <c:v>0.47103758561643833</c:v>
                </c:pt>
                <c:pt idx="14">
                  <c:v>0.4510184603825137</c:v>
                </c:pt>
                <c:pt idx="15">
                  <c:v>0.43052238835616452</c:v>
                </c:pt>
                <c:pt idx="16">
                  <c:v>0.43052238835616452</c:v>
                </c:pt>
                <c:pt idx="17">
                  <c:v>0.42911422123287668</c:v>
                </c:pt>
                <c:pt idx="18">
                  <c:v>0.43573334631147548</c:v>
                </c:pt>
                <c:pt idx="19">
                  <c:v>0.43388099726027402</c:v>
                </c:pt>
                <c:pt idx="20">
                  <c:v>0.43388099726027402</c:v>
                </c:pt>
                <c:pt idx="21">
                  <c:v>0.43388099726027402</c:v>
                </c:pt>
                <c:pt idx="22">
                  <c:v>0.43388099726027402</c:v>
                </c:pt>
                <c:pt idx="23">
                  <c:v>0.43388099726027402</c:v>
                </c:pt>
                <c:pt idx="24">
                  <c:v>0.43388099726027402</c:v>
                </c:pt>
                <c:pt idx="25">
                  <c:v>0.43388099726027402</c:v>
                </c:pt>
                <c:pt idx="26">
                  <c:v>0.43388099726027402</c:v>
                </c:pt>
                <c:pt idx="27">
                  <c:v>0.43388099726027402</c:v>
                </c:pt>
                <c:pt idx="28">
                  <c:v>0.43388099726027402</c:v>
                </c:pt>
                <c:pt idx="29">
                  <c:v>0.43388099726027402</c:v>
                </c:pt>
                <c:pt idx="30">
                  <c:v>0.43388099726027402</c:v>
                </c:pt>
                <c:pt idx="31">
                  <c:v>0.43388099726027402</c:v>
                </c:pt>
                <c:pt idx="32">
                  <c:v>0.43388099726027402</c:v>
                </c:pt>
                <c:pt idx="33">
                  <c:v>0.43388099726027402</c:v>
                </c:pt>
                <c:pt idx="34">
                  <c:v>0.43388099726027402</c:v>
                </c:pt>
              </c:numCache>
            </c:numRef>
          </c:val>
          <c:smooth val="0"/>
          <c:extLst>
            <c:ext xmlns:c16="http://schemas.microsoft.com/office/drawing/2014/chart" uri="{C3380CC4-5D6E-409C-BE32-E72D297353CC}">
              <c16:uniqueId val="{00000001-8F26-8E46-A93D-CAF80790428E}"/>
            </c:ext>
          </c:extLst>
        </c:ser>
        <c:ser>
          <c:idx val="2"/>
          <c:order val="2"/>
          <c:tx>
            <c:strRef>
              <c:f>'Gas prc.'!$C$19:$H$19</c:f>
              <c:strCache>
                <c:ptCount val="6"/>
                <c:pt idx="0">
                  <c:v>Neg share — IM selected S_neg_sel (Q)</c:v>
                </c:pt>
              </c:strCache>
            </c:strRef>
          </c:tx>
          <c:spPr>
            <a:ln>
              <a:solidFill>
                <a:srgbClr val="EA580C"/>
              </a:solidFill>
              <a:prstDash val="solid"/>
            </a:ln>
          </c:spPr>
          <c:marker>
            <c:symbol val="none"/>
          </c:marker>
          <c:cat>
            <c:numRef>
              <c:f>'Gas prc.'!$I$5:$AQ$5</c:f>
              <c:numCache>
                <c:formatCode>General</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'Gas prc.'!$I$19:$AQ$19</c:f>
              <c:numCache>
                <c:formatCode>0.0%</c:formatCode>
                <c:ptCount val="35"/>
                <c:pt idx="1">
                  <c:v>0.13355274109589041</c:v>
                </c:pt>
                <c:pt idx="2">
                  <c:v>0.1557515382513662</c:v>
                </c:pt>
                <c:pt idx="3">
                  <c:v>0.2008565219178082</c:v>
                </c:pt>
                <c:pt idx="4">
                  <c:v>0.20697695753424661</c:v>
                </c:pt>
                <c:pt idx="5">
                  <c:v>0.20526740410958899</c:v>
                </c:pt>
                <c:pt idx="6">
                  <c:v>0.2293741243169399</c:v>
                </c:pt>
                <c:pt idx="7">
                  <c:v>0.22965287945205479</c:v>
                </c:pt>
                <c:pt idx="8">
                  <c:v>0.22965287945205479</c:v>
                </c:pt>
                <c:pt idx="9">
                  <c:v>0.225241997260274</c:v>
                </c:pt>
                <c:pt idx="10">
                  <c:v>0.224689043715847</c:v>
                </c:pt>
                <c:pt idx="11">
                  <c:v>0.22509769589041101</c:v>
                </c:pt>
                <c:pt idx="12">
                  <c:v>0.225241997260274</c:v>
                </c:pt>
                <c:pt idx="13">
                  <c:v>0.22965287945205479</c:v>
                </c:pt>
                <c:pt idx="14">
                  <c:v>0.25369297267759572</c:v>
                </c:pt>
                <c:pt idx="15">
                  <c:v>0.2787297191780822</c:v>
                </c:pt>
                <c:pt idx="16">
                  <c:v>0.2787297191780822</c:v>
                </c:pt>
                <c:pt idx="17">
                  <c:v>0.27887402054794519</c:v>
                </c:pt>
                <c:pt idx="18">
                  <c:v>0.28257336202185801</c:v>
                </c:pt>
                <c:pt idx="19">
                  <c:v>0.28337916438356159</c:v>
                </c:pt>
                <c:pt idx="20">
                  <c:v>0.28337916438356159</c:v>
                </c:pt>
                <c:pt idx="21">
                  <c:v>0.28337916438356159</c:v>
                </c:pt>
                <c:pt idx="22">
                  <c:v>0.28337916438356159</c:v>
                </c:pt>
                <c:pt idx="23">
                  <c:v>0.28337916438356159</c:v>
                </c:pt>
                <c:pt idx="24">
                  <c:v>0.28337916438356159</c:v>
                </c:pt>
                <c:pt idx="25">
                  <c:v>0.28337916438356159</c:v>
                </c:pt>
                <c:pt idx="26">
                  <c:v>0.28337916438356159</c:v>
                </c:pt>
                <c:pt idx="27">
                  <c:v>0.28337916438356159</c:v>
                </c:pt>
                <c:pt idx="28">
                  <c:v>0.28337916438356159</c:v>
                </c:pt>
                <c:pt idx="29">
                  <c:v>0.28337916438356159</c:v>
                </c:pt>
                <c:pt idx="30">
                  <c:v>0.28337916438356159</c:v>
                </c:pt>
                <c:pt idx="31">
                  <c:v>0.28337916438356159</c:v>
                </c:pt>
                <c:pt idx="32">
                  <c:v>0.28337916438356159</c:v>
                </c:pt>
                <c:pt idx="33">
                  <c:v>0.28337916438356159</c:v>
                </c:pt>
                <c:pt idx="34">
                  <c:v>0.28337916438356159</c:v>
                </c:pt>
              </c:numCache>
            </c:numRef>
          </c:val>
          <c:smooth val="0"/>
          <c:extLst>
            <c:ext xmlns:c16="http://schemas.microsoft.com/office/drawing/2014/chart" uri="{C3380CC4-5D6E-409C-BE32-E72D297353CC}">
              <c16:uniqueId val="{00000002-8F26-8E46-A93D-CAF80790428E}"/>
            </c:ext>
          </c:extLst>
        </c:ser>
        <c:dLbls>
          <c:showLegendKey val="0"/>
          <c:showVal val="0"/>
          <c:showCatName val="0"/>
          <c:showSerName val="0"/>
          <c:showPercent val="0"/>
          <c:showBubbleSize val="0"/>
        </c:dLbls>
        <c:smooth val="0"/>
        <c:axId val="1939850943"/>
        <c:axId val="1939838943"/>
      </c:lineChart>
      <c:catAx>
        <c:axId val="1939850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939838943"/>
        <c:crosses val="autoZero"/>
        <c:auto val="1"/>
        <c:lblAlgn val="ctr"/>
        <c:lblOffset val="100"/>
        <c:noMultiLvlLbl val="0"/>
      </c:catAx>
      <c:valAx>
        <c:axId val="1939838943"/>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939850943"/>
        <c:crosses val="autoZero"/>
        <c:crossBetween val="between"/>
      </c:valAx>
    </c:plotArea>
    <c:legend>
      <c:legendPos val="b"/>
      <c:overlay val="0"/>
      <c:txPr>
        <a:bodyPr/>
        <a:lstStyle/>
        <a:p>
          <a:pPr>
            <a:defRPr sz="900" b="0">
              <a:solidFill>
                <a:srgbClr val="595959"/>
              </a:solidFill>
              <a:latin typeface="Arial"/>
            </a:defRPr>
          </a:pPr>
          <a:endParaRPr lang="en-FR"/>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de-DE"/>
              <a:t>Spark spreads</a:t>
            </a:r>
          </a:p>
        </c:rich>
      </c:tx>
      <c:overlay val="0"/>
      <c:spPr>
        <a:noFill/>
        <a:ln>
          <a:noFill/>
          <a:prstDash val="solid"/>
        </a:ln>
      </c:spPr>
    </c:title>
    <c:autoTitleDeleted val="0"/>
    <c:plotArea>
      <c:layout/>
      <c:lineChart>
        <c:grouping val="standard"/>
        <c:varyColors val="0"/>
        <c:ser>
          <c:idx val="2"/>
          <c:order val="0"/>
          <c:tx>
            <c:strRef>
              <c:f>'Rev.'!$C$8:$H$8</c:f>
              <c:strCache>
                <c:ptCount val="6"/>
                <c:pt idx="0">
                  <c:v>Gas spark spread</c:v>
                </c:pt>
              </c:strCache>
            </c:strRef>
          </c:tx>
          <c:spPr>
            <a:ln>
              <a:solidFill>
                <a:srgbClr val="1D4ED8"/>
              </a:solidFill>
              <a:prstDash val="solid"/>
            </a:ln>
          </c:spPr>
          <c:marker>
            <c:symbol val="none"/>
          </c:marker>
          <c:cat>
            <c:numRef>
              <c:f>'Rev.'!$I$5:$AQ$5</c:f>
              <c:numCache>
                <c:formatCode>General</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'Rev.'!$I$8:$AQ$8</c:f>
              <c:numCache>
                <c:formatCode>#\ ##0.00;[Red]\(#\ ##0.00\)</c:formatCode>
                <c:ptCount val="35"/>
                <c:pt idx="1">
                  <c:v>10.223846600468633</c:v>
                </c:pt>
                <c:pt idx="2">
                  <c:v>8.359562658938998</c:v>
                </c:pt>
                <c:pt idx="3">
                  <c:v>7.5248434814810992</c:v>
                </c:pt>
                <c:pt idx="4">
                  <c:v>7.2779659786298296</c:v>
                </c:pt>
                <c:pt idx="5">
                  <c:v>7.5156488578404037</c:v>
                </c:pt>
                <c:pt idx="6">
                  <c:v>7.5364549492085899</c:v>
                </c:pt>
                <c:pt idx="7">
                  <c:v>7.5112776355965849</c:v>
                </c:pt>
                <c:pt idx="8">
                  <c:v>7.4816289618944154</c:v>
                </c:pt>
                <c:pt idx="9">
                  <c:v>7.4473300013404184</c:v>
                </c:pt>
                <c:pt idx="10">
                  <c:v>7.4081962298507023</c:v>
                </c:pt>
                <c:pt idx="11">
                  <c:v>7.3640373685356195</c:v>
                </c:pt>
                <c:pt idx="12">
                  <c:v>7.3146572220410064</c:v>
                </c:pt>
                <c:pt idx="13">
                  <c:v>7.2598535126066963</c:v>
                </c:pt>
                <c:pt idx="14">
                  <c:v>7.1994177097233063</c:v>
                </c:pt>
                <c:pt idx="15">
                  <c:v>7.1331348552953244</c:v>
                </c:pt>
                <c:pt idx="16">
                  <c:v>7.0607833841873173</c:v>
                </c:pt>
                <c:pt idx="17">
                  <c:v>6.9821349400134807</c:v>
                </c:pt>
                <c:pt idx="18">
                  <c:v>6.896954186084912</c:v>
                </c:pt>
                <c:pt idx="19">
                  <c:v>6.8049986113799292</c:v>
                </c:pt>
                <c:pt idx="20">
                  <c:v>6.7060183313802071</c:v>
                </c:pt>
                <c:pt idx="21">
                  <c:v>6.5997558837017891</c:v>
                </c:pt>
                <c:pt idx="22">
                  <c:v>6.4859460183247393</c:v>
                </c:pt>
                <c:pt idx="23">
                  <c:v>6.364315482339336</c:v>
                </c:pt>
                <c:pt idx="24">
                  <c:v>6.2345827990235989</c:v>
                </c:pt>
                <c:pt idx="25">
                  <c:v>6.0964580411476419</c:v>
                </c:pt>
                <c:pt idx="26">
                  <c:v>5.949642598328694</c:v>
                </c:pt>
                <c:pt idx="27">
                  <c:v>5.7938289382985886</c:v>
                </c:pt>
                <c:pt idx="28">
                  <c:v>5.628700361941867</c:v>
                </c:pt>
                <c:pt idx="29">
                  <c:v>5.4539307519129636</c:v>
                </c:pt>
                <c:pt idx="30">
                  <c:v>5.2691843147074025</c:v>
                </c:pt>
                <c:pt idx="31">
                  <c:v>5.0741153159993218</c:v>
                </c:pt>
                <c:pt idx="32">
                  <c:v>4.8683678090844467</c:v>
                </c:pt>
                <c:pt idx="33">
                  <c:v>4.6515753562440665</c:v>
                </c:pt>
                <c:pt idx="34">
                  <c:v>4.4233607428651283</c:v>
                </c:pt>
              </c:numCache>
            </c:numRef>
          </c:val>
          <c:smooth val="0"/>
          <c:extLst>
            <c:ext xmlns:c16="http://schemas.microsoft.com/office/drawing/2014/chart" uri="{C3380CC4-5D6E-409C-BE32-E72D297353CC}">
              <c16:uniqueId val="{00000000-13A4-1240-B491-7BCB46D701E2}"/>
            </c:ext>
          </c:extLst>
        </c:ser>
        <c:ser>
          <c:idx val="3"/>
          <c:order val="1"/>
          <c:tx>
            <c:strRef>
              <c:f>'Rev.'!$C$9:$H$9</c:f>
              <c:strCache>
                <c:ptCount val="6"/>
                <c:pt idx="0">
                  <c:v>Res spark spread</c:v>
                </c:pt>
              </c:strCache>
            </c:strRef>
          </c:tx>
          <c:spPr>
            <a:ln>
              <a:solidFill>
                <a:srgbClr val="6B7280"/>
              </a:solidFill>
              <a:prstDash val="solid"/>
            </a:ln>
          </c:spPr>
          <c:marker>
            <c:symbol val="none"/>
          </c:marker>
          <c:cat>
            <c:numRef>
              <c:f>'Rev.'!$I$5:$AQ$5</c:f>
              <c:numCache>
                <c:formatCode>General</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'Rev.'!$I$9:$AQ$9</c:f>
              <c:numCache>
                <c:formatCode>#\ ##0.00;[Red]\(#\ ##0.00\)</c:formatCode>
                <c:ptCount val="35"/>
                <c:pt idx="1">
                  <c:v>-0.46519483378949644</c:v>
                </c:pt>
                <c:pt idx="2">
                  <c:v>-3.456658518319955</c:v>
                </c:pt>
                <c:pt idx="3">
                  <c:v>-5.9042035264684714</c:v>
                </c:pt>
                <c:pt idx="4">
                  <c:v>-10.318284486799627</c:v>
                </c:pt>
                <c:pt idx="5">
                  <c:v>-8.1352459219323734</c:v>
                </c:pt>
                <c:pt idx="6">
                  <c:v>-6.2280645371872509</c:v>
                </c:pt>
                <c:pt idx="7">
                  <c:v>-4.4797138641001482</c:v>
                </c:pt>
                <c:pt idx="8">
                  <c:v>-4.5093625378023035</c:v>
                </c:pt>
                <c:pt idx="9">
                  <c:v>-2.1888001916585864</c:v>
                </c:pt>
                <c:pt idx="10">
                  <c:v>-2.2358219051350261</c:v>
                </c:pt>
                <c:pt idx="11">
                  <c:v>-1.380646549262039</c:v>
                </c:pt>
                <c:pt idx="12">
                  <c:v>-2.3214729709579842</c:v>
                </c:pt>
                <c:pt idx="13">
                  <c:v>-4.7311379870900225</c:v>
                </c:pt>
                <c:pt idx="14">
                  <c:v>-2.6799178542739099</c:v>
                </c:pt>
                <c:pt idx="15">
                  <c:v>-0.4457192005134516</c:v>
                </c:pt>
                <c:pt idx="16">
                  <c:v>-0.5180706716214587</c:v>
                </c:pt>
                <c:pt idx="17">
                  <c:v>-1.5584933965716345</c:v>
                </c:pt>
                <c:pt idx="18">
                  <c:v>-4.2103861848376596</c:v>
                </c:pt>
                <c:pt idx="19">
                  <c:v>-5.223570927863193</c:v>
                </c:pt>
                <c:pt idx="20">
                  <c:v>-5.3225512078924595</c:v>
                </c:pt>
                <c:pt idx="21">
                  <c:v>-5.4288136555276623</c:v>
                </c:pt>
                <c:pt idx="22">
                  <c:v>-5.5426235209311443</c:v>
                </c:pt>
                <c:pt idx="23">
                  <c:v>-5.6642540569035731</c:v>
                </c:pt>
                <c:pt idx="24">
                  <c:v>-5.7939867401825751</c:v>
                </c:pt>
                <c:pt idx="25">
                  <c:v>-5.9321114981304106</c:v>
                </c:pt>
                <c:pt idx="26">
                  <c:v>-6.0789269409285822</c:v>
                </c:pt>
                <c:pt idx="27">
                  <c:v>-6.2347406009332076</c:v>
                </c:pt>
                <c:pt idx="28">
                  <c:v>-6.3998691773186351</c:v>
                </c:pt>
                <c:pt idx="29">
                  <c:v>-6.5746387872840728</c:v>
                </c:pt>
                <c:pt idx="30">
                  <c:v>-6.7593852244894919</c:v>
                </c:pt>
                <c:pt idx="31">
                  <c:v>-6.9544542232384714</c:v>
                </c:pt>
                <c:pt idx="32">
                  <c:v>-7.1602017301908774</c:v>
                </c:pt>
                <c:pt idx="33">
                  <c:v>-7.3769941829969241</c:v>
                </c:pt>
                <c:pt idx="34">
                  <c:v>-7.6052087963821862</c:v>
                </c:pt>
              </c:numCache>
            </c:numRef>
          </c:val>
          <c:smooth val="0"/>
          <c:extLst>
            <c:ext xmlns:c16="http://schemas.microsoft.com/office/drawing/2014/chart" uri="{C3380CC4-5D6E-409C-BE32-E72D297353CC}">
              <c16:uniqueId val="{00000001-13A4-1240-B491-7BCB46D701E2}"/>
            </c:ext>
          </c:extLst>
        </c:ser>
        <c:dLbls>
          <c:showLegendKey val="0"/>
          <c:showVal val="0"/>
          <c:showCatName val="0"/>
          <c:showSerName val="0"/>
          <c:showPercent val="0"/>
          <c:showBubbleSize val="0"/>
        </c:dLbls>
        <c:smooth val="0"/>
        <c:axId val="1936943823"/>
        <c:axId val="1936938543"/>
      </c:lineChart>
      <c:catAx>
        <c:axId val="1936943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936938543"/>
        <c:crosses val="autoZero"/>
        <c:auto val="1"/>
        <c:lblAlgn val="ctr"/>
        <c:lblOffset val="100"/>
        <c:noMultiLvlLbl val="0"/>
      </c:catAx>
      <c:valAx>
        <c:axId val="1936938543"/>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936943823"/>
        <c:crosses val="autoZero"/>
        <c:crossBetween val="between"/>
      </c:valAx>
    </c:plotArea>
    <c:legend>
      <c:legendPos val="b"/>
      <c:overlay val="0"/>
      <c:txPr>
        <a:bodyPr/>
        <a:lstStyle/>
        <a:p>
          <a:pPr>
            <a:defRPr sz="900" b="0">
              <a:solidFill>
                <a:srgbClr val="595959"/>
              </a:solidFill>
              <a:latin typeface="Arial"/>
            </a:defRPr>
          </a:pPr>
          <a:endParaRPr lang="en-FR"/>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de-DE"/>
              <a:t>Revenue to EBITDA</a:t>
            </a:r>
          </a:p>
        </c:rich>
      </c:tx>
      <c:overlay val="0"/>
      <c:spPr>
        <a:noFill/>
        <a:ln>
          <a:noFill/>
          <a:prstDash val="solid"/>
        </a:ln>
      </c:spPr>
    </c:title>
    <c:autoTitleDeleted val="0"/>
    <c:plotArea>
      <c:layout>
        <c:manualLayout>
          <c:layoutTarget val="inner"/>
          <c:xMode val="edge"/>
          <c:yMode val="edge"/>
          <c:x val="0.18796069629856491"/>
          <c:y val="5.0103519668737058E-2"/>
          <c:w val="0.77716859453720288"/>
          <c:h val="0.7904924927862278"/>
        </c:manualLayout>
      </c:layout>
      <c:barChart>
        <c:barDir val="col"/>
        <c:grouping val="stacked"/>
        <c:varyColors val="0"/>
        <c:ser>
          <c:idx val="4"/>
          <c:order val="0"/>
          <c:tx>
            <c:strRef>
              <c:f>'3 Stats.'!$C$10:$H$10</c:f>
              <c:strCache>
                <c:ptCount val="6"/>
                <c:pt idx="0">
                  <c:v> Revenue </c:v>
                </c:pt>
              </c:strCache>
            </c:strRef>
          </c:tx>
          <c:spPr>
            <a:solidFill>
              <a:srgbClr val="1D4ED8"/>
            </a:solidFill>
            <a:ln>
              <a:solidFill>
                <a:srgbClr val="1D4ED8"/>
              </a:solidFill>
              <a:prstDash val="solid"/>
            </a:ln>
          </c:spPr>
          <c:invertIfNegative val="0"/>
          <c:cat>
            <c:numRef>
              <c:f>'3 Stats.'!$I$5:$AQ$5</c:f>
              <c:numCache>
                <c:formatCode>_-* #\ ##0_-;\-* #\ ##0_-;_-* "-"??_-;_-@_-</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'3 Stats.'!$I$10:$AQ$10</c:f>
              <c:numCache>
                <c:formatCode>_-* #\ ##0_-;\-* #\ ##0_-;_-* "-"??_-;_-@_-</c:formatCode>
                <c:ptCount val="35"/>
                <c:pt idx="1">
                  <c:v>140750909.68539986</c:v>
                </c:pt>
                <c:pt idx="2">
                  <c:v>112815734.76738515</c:v>
                </c:pt>
                <c:pt idx="3">
                  <c:v>99000994.213105634</c:v>
                </c:pt>
                <c:pt idx="4">
                  <c:v>92160740.40837869</c:v>
                </c:pt>
                <c:pt idx="5">
                  <c:v>99808127.328461885</c:v>
                </c:pt>
                <c:pt idx="6">
                  <c:v>101018107.30871376</c:v>
                </c:pt>
                <c:pt idx="7">
                  <c:v>102090720.31737047</c:v>
                </c:pt>
                <c:pt idx="8">
                  <c:v>104132534.72371787</c:v>
                </c:pt>
                <c:pt idx="9">
                  <c:v>109990604.95390882</c:v>
                </c:pt>
                <c:pt idx="10">
                  <c:v>112278163.58419183</c:v>
                </c:pt>
                <c:pt idx="11">
                  <c:v>113967601.09660895</c:v>
                </c:pt>
                <c:pt idx="12">
                  <c:v>116722909.9019067</c:v>
                </c:pt>
                <c:pt idx="13">
                  <c:v>114970732.5770147</c:v>
                </c:pt>
                <c:pt idx="14">
                  <c:v>115694722.94920631</c:v>
                </c:pt>
                <c:pt idx="15">
                  <c:v>116193990.03418612</c:v>
                </c:pt>
                <c:pt idx="16">
                  <c:v>118517869.83487339</c:v>
                </c:pt>
                <c:pt idx="17">
                  <c:v>121413721.97926036</c:v>
                </c:pt>
                <c:pt idx="18">
                  <c:v>119465941.4762429</c:v>
                </c:pt>
                <c:pt idx="19">
                  <c:v>122307976.87037241</c:v>
                </c:pt>
                <c:pt idx="20">
                  <c:v>124754136.4077695</c:v>
                </c:pt>
                <c:pt idx="21">
                  <c:v>127249219.13594389</c:v>
                </c:pt>
                <c:pt idx="22">
                  <c:v>129794203.51865759</c:v>
                </c:pt>
                <c:pt idx="23">
                  <c:v>132390087.58904798</c:v>
                </c:pt>
                <c:pt idx="24">
                  <c:v>135037889.34082201</c:v>
                </c:pt>
                <c:pt idx="25">
                  <c:v>137738647.12763074</c:v>
                </c:pt>
                <c:pt idx="26">
                  <c:v>140493420.07019284</c:v>
                </c:pt>
                <c:pt idx="27">
                  <c:v>143303288.47155875</c:v>
                </c:pt>
                <c:pt idx="28">
                  <c:v>146169354.24099252</c:v>
                </c:pt>
                <c:pt idx="29">
                  <c:v>149092741.32583132</c:v>
                </c:pt>
                <c:pt idx="30">
                  <c:v>152074596.15236521</c:v>
                </c:pt>
                <c:pt idx="31">
                  <c:v>155116088.07540131</c:v>
                </c:pt>
                <c:pt idx="32">
                  <c:v>158218409.83691275</c:v>
                </c:pt>
                <c:pt idx="33">
                  <c:v>161382778.03365615</c:v>
                </c:pt>
                <c:pt idx="34">
                  <c:v>164610433.59433365</c:v>
                </c:pt>
              </c:numCache>
            </c:numRef>
          </c:val>
          <c:extLst>
            <c:ext xmlns:c16="http://schemas.microsoft.com/office/drawing/2014/chart" uri="{C3380CC4-5D6E-409C-BE32-E72D297353CC}">
              <c16:uniqueId val="{00000000-7199-DE49-9B7F-66264CF4FC23}"/>
            </c:ext>
          </c:extLst>
        </c:ser>
        <c:ser>
          <c:idx val="5"/>
          <c:order val="1"/>
          <c:tx>
            <c:strRef>
              <c:f>'3 Stats.'!$C$13:$H$13</c:f>
              <c:strCache>
                <c:ptCount val="6"/>
                <c:pt idx="0">
                  <c:v> Cost </c:v>
                </c:pt>
                <c:pt idx="1">
                  <c:v> O&amp;M </c:v>
                </c:pt>
              </c:strCache>
            </c:strRef>
          </c:tx>
          <c:spPr>
            <a:solidFill>
              <a:srgbClr val="6B7280"/>
            </a:solidFill>
            <a:ln>
              <a:solidFill>
                <a:srgbClr val="6B7280"/>
              </a:solidFill>
              <a:prstDash val="solid"/>
            </a:ln>
          </c:spPr>
          <c:invertIfNegative val="0"/>
          <c:cat>
            <c:numRef>
              <c:f>'3 Stats.'!$I$5:$AQ$5</c:f>
              <c:numCache>
                <c:formatCode>_-* #\ ##0_-;\-* #\ ##0_-;_-* "-"??_-;_-@_-</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'3 Stats.'!$I$13:$AQ$13</c:f>
              <c:numCache>
                <c:formatCode>_-* #\ ##0_-;\-* #\ ##0_-;_-* "-"??_-;_-@_-</c:formatCode>
                <c:ptCount val="35"/>
                <c:pt idx="1">
                  <c:v>-8223889.2180000003</c:v>
                </c:pt>
                <c:pt idx="2">
                  <c:v>-8180029.9890983598</c:v>
                </c:pt>
                <c:pt idx="3">
                  <c:v>-8081157.2324999999</c:v>
                </c:pt>
                <c:pt idx="4">
                  <c:v>-7960497.238499999</c:v>
                </c:pt>
                <c:pt idx="5">
                  <c:v>-8011259.2680000002</c:v>
                </c:pt>
                <c:pt idx="6">
                  <c:v>-7984719.1158811478</c:v>
                </c:pt>
                <c:pt idx="7">
                  <c:v>-7966463.6444999995</c:v>
                </c:pt>
                <c:pt idx="8">
                  <c:v>-7966463.6444999995</c:v>
                </c:pt>
                <c:pt idx="9">
                  <c:v>-8036361.6089999992</c:v>
                </c:pt>
                <c:pt idx="10">
                  <c:v>-8037954.2910860647</c:v>
                </c:pt>
                <c:pt idx="11">
                  <c:v>-8028058.0109999999</c:v>
                </c:pt>
                <c:pt idx="12">
                  <c:v>-8036361.6089999992</c:v>
                </c:pt>
                <c:pt idx="13">
                  <c:v>-7966463.6444999995</c:v>
                </c:pt>
                <c:pt idx="14">
                  <c:v>-7940045.8847950818</c:v>
                </c:pt>
                <c:pt idx="15">
                  <c:v>-7910213.6535</c:v>
                </c:pt>
                <c:pt idx="16">
                  <c:v>-7910213.6535</c:v>
                </c:pt>
                <c:pt idx="17">
                  <c:v>-7918517.2514999993</c:v>
                </c:pt>
                <c:pt idx="18">
                  <c:v>-7850724.9262500005</c:v>
                </c:pt>
                <c:pt idx="19">
                  <c:v>-7857600.7380000008</c:v>
                </c:pt>
                <c:pt idx="20">
                  <c:v>-7857600.7380000008</c:v>
                </c:pt>
                <c:pt idx="21">
                  <c:v>-7857600.7380000008</c:v>
                </c:pt>
                <c:pt idx="22">
                  <c:v>-7857600.7380000008</c:v>
                </c:pt>
                <c:pt idx="23">
                  <c:v>-7857600.7380000008</c:v>
                </c:pt>
                <c:pt idx="24">
                  <c:v>-7857600.7380000008</c:v>
                </c:pt>
                <c:pt idx="25">
                  <c:v>-7857600.7380000008</c:v>
                </c:pt>
                <c:pt idx="26">
                  <c:v>-7857600.7380000008</c:v>
                </c:pt>
                <c:pt idx="27">
                  <c:v>-7857600.7380000008</c:v>
                </c:pt>
                <c:pt idx="28">
                  <c:v>-7857600.7380000008</c:v>
                </c:pt>
                <c:pt idx="29">
                  <c:v>-7857600.7380000008</c:v>
                </c:pt>
                <c:pt idx="30">
                  <c:v>-7857600.7380000008</c:v>
                </c:pt>
                <c:pt idx="31">
                  <c:v>-7857600.7380000008</c:v>
                </c:pt>
                <c:pt idx="32">
                  <c:v>-7857600.7380000008</c:v>
                </c:pt>
                <c:pt idx="33">
                  <c:v>-7857600.7380000008</c:v>
                </c:pt>
                <c:pt idx="34">
                  <c:v>-7857600.7380000008</c:v>
                </c:pt>
              </c:numCache>
            </c:numRef>
          </c:val>
          <c:extLst>
            <c:ext xmlns:c16="http://schemas.microsoft.com/office/drawing/2014/chart" uri="{C3380CC4-5D6E-409C-BE32-E72D297353CC}">
              <c16:uniqueId val="{00000001-7199-DE49-9B7F-66264CF4FC23}"/>
            </c:ext>
          </c:extLst>
        </c:ser>
        <c:ser>
          <c:idx val="6"/>
          <c:order val="2"/>
          <c:tx>
            <c:strRef>
              <c:f>'3 Stats.'!$C$14:$H$14</c:f>
              <c:strCache>
                <c:ptCount val="6"/>
                <c:pt idx="0">
                  <c:v> Cost </c:v>
                </c:pt>
                <c:pt idx="1">
                  <c:v> Gas </c:v>
                </c:pt>
              </c:strCache>
            </c:strRef>
          </c:tx>
          <c:spPr>
            <a:solidFill>
              <a:srgbClr val="EA580C"/>
            </a:solidFill>
            <a:ln>
              <a:solidFill>
                <a:srgbClr val="EA580C"/>
              </a:solidFill>
              <a:prstDash val="solid"/>
            </a:ln>
          </c:spPr>
          <c:invertIfNegative val="0"/>
          <c:cat>
            <c:numRef>
              <c:f>'3 Stats.'!$I$5:$AQ$5</c:f>
              <c:numCache>
                <c:formatCode>_-* #\ ##0_-;\-* #\ ##0_-;_-* "-"??_-;_-@_-</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'3 Stats.'!$I$14:$AQ$14</c:f>
              <c:numCache>
                <c:formatCode>_-* #\ ##0_-;\-* #\ ##0_-;_-* "-"??_-;_-@_-</c:formatCode>
                <c:ptCount val="35"/>
                <c:pt idx="1">
                  <c:v>-87870234.751215398</c:v>
                </c:pt>
                <c:pt idx="2">
                  <c:v>-62382396.611122295</c:v>
                </c:pt>
                <c:pt idx="3">
                  <c:v>-50516978.976923086</c:v>
                </c:pt>
                <c:pt idx="4">
                  <c:v>-45332898.394847721</c:v>
                </c:pt>
                <c:pt idx="5">
                  <c:v>-50051936.905631222</c:v>
                </c:pt>
                <c:pt idx="6">
                  <c:v>-50505555.257930093</c:v>
                </c:pt>
                <c:pt idx="7">
                  <c:v>-51169748.988661766</c:v>
                </c:pt>
                <c:pt idx="8">
                  <c:v>-52323953.853067666</c:v>
                </c:pt>
                <c:pt idx="9">
                  <c:v>-55406000.356440522</c:v>
                </c:pt>
                <c:pt idx="10">
                  <c:v>-56700071.4477228</c:v>
                </c:pt>
                <c:pt idx="11">
                  <c:v>-57697475.042858288</c:v>
                </c:pt>
                <c:pt idx="12">
                  <c:v>-59240484.627509661</c:v>
                </c:pt>
                <c:pt idx="13">
                  <c:v>-58497444.086324416</c:v>
                </c:pt>
                <c:pt idx="14">
                  <c:v>-59013345.864108272</c:v>
                </c:pt>
                <c:pt idx="15">
                  <c:v>-59416552.457412049</c:v>
                </c:pt>
                <c:pt idx="16">
                  <c:v>-60756775.445173241</c:v>
                </c:pt>
                <c:pt idx="17">
                  <c:v>-62397292.814401276</c:v>
                </c:pt>
                <c:pt idx="18">
                  <c:v>-61550159.196262844</c:v>
                </c:pt>
                <c:pt idx="19">
                  <c:v>-63172337.748285547</c:v>
                </c:pt>
                <c:pt idx="20">
                  <c:v>-64597277.697494999</c:v>
                </c:pt>
                <c:pt idx="21">
                  <c:v>-66054359.149318181</c:v>
                </c:pt>
                <c:pt idx="22">
                  <c:v>-67544307.100054696</c:v>
                </c:pt>
                <c:pt idx="23">
                  <c:v>-69067862.899304032</c:v>
                </c:pt>
                <c:pt idx="24">
                  <c:v>-70625784.618837193</c:v>
                </c:pt>
                <c:pt idx="25">
                  <c:v>-72218847.429788411</c:v>
                </c:pt>
                <c:pt idx="26">
                  <c:v>-73847843.98835507</c:v>
                </c:pt>
                <c:pt idx="27">
                  <c:v>-75513584.830197647</c:v>
                </c:pt>
                <c:pt idx="28">
                  <c:v>-77216898.773735955</c:v>
                </c:pt>
                <c:pt idx="29">
                  <c:v>-78958633.332542017</c:v>
                </c:pt>
                <c:pt idx="30">
                  <c:v>-80739655.137035444</c:v>
                </c:pt>
                <c:pt idx="31">
                  <c:v>-82560850.365690395</c:v>
                </c:pt>
                <c:pt idx="32">
                  <c:v>-84423125.185969114</c:v>
                </c:pt>
                <c:pt idx="33">
                  <c:v>-86327406.205201462</c:v>
                </c:pt>
                <c:pt idx="34">
                  <c:v>-88274640.931634605</c:v>
                </c:pt>
              </c:numCache>
            </c:numRef>
          </c:val>
          <c:extLst>
            <c:ext xmlns:c16="http://schemas.microsoft.com/office/drawing/2014/chart" uri="{C3380CC4-5D6E-409C-BE32-E72D297353CC}">
              <c16:uniqueId val="{00000002-7199-DE49-9B7F-66264CF4FC23}"/>
            </c:ext>
          </c:extLst>
        </c:ser>
        <c:ser>
          <c:idx val="7"/>
          <c:order val="3"/>
          <c:tx>
            <c:strRef>
              <c:f>'3 Stats.'!$C$15:$H$15</c:f>
              <c:strCache>
                <c:ptCount val="6"/>
                <c:pt idx="0">
                  <c:v> Cost </c:v>
                </c:pt>
                <c:pt idx="1">
                  <c:v> CO2 </c:v>
                </c:pt>
              </c:strCache>
            </c:strRef>
          </c:tx>
          <c:spPr>
            <a:solidFill>
              <a:srgbClr val="16A34A"/>
            </a:solidFill>
            <a:ln>
              <a:solidFill>
                <a:srgbClr val="16A34A"/>
              </a:solidFill>
              <a:prstDash val="solid"/>
            </a:ln>
          </c:spPr>
          <c:invertIfNegative val="0"/>
          <c:cat>
            <c:numRef>
              <c:f>'3 Stats.'!$I$5:$AQ$5</c:f>
              <c:numCache>
                <c:formatCode>_-* #\ ##0_-;\-* #\ ##0_-;_-* "-"??_-;_-@_-</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'3 Stats.'!$I$15:$AQ$15</c:f>
              <c:numCache>
                <c:formatCode>_-* #\ ##0_-;\-* #\ ##0_-;_-* "-"??_-;_-@_-</c:formatCode>
                <c:ptCount val="35"/>
                <c:pt idx="1">
                  <c:v>-37722873.45333904</c:v>
                </c:pt>
                <c:pt idx="2">
                  <c:v>-38283939.961440288</c:v>
                </c:pt>
                <c:pt idx="3">
                  <c:v>-38043760.279572651</c:v>
                </c:pt>
                <c:pt idx="4">
                  <c:v>-37315553.878197156</c:v>
                </c:pt>
                <c:pt idx="5">
                  <c:v>-39678911.475920595</c:v>
                </c:pt>
                <c:pt idx="6">
                  <c:v>-40540721.248336092</c:v>
                </c:pt>
                <c:pt idx="7">
                  <c:v>-41073868.39927762</c:v>
                </c:pt>
                <c:pt idx="8">
                  <c:v>-42000346.633847795</c:v>
                </c:pt>
                <c:pt idx="9">
                  <c:v>-44474299.994612575</c:v>
                </c:pt>
                <c:pt idx="10">
                  <c:v>-45513048.605914451</c:v>
                </c:pt>
                <c:pt idx="11">
                  <c:v>-46313662.734709322</c:v>
                </c:pt>
                <c:pt idx="12">
                  <c:v>-47552233.841091119</c:v>
                </c:pt>
                <c:pt idx="13">
                  <c:v>-46955796.492732495</c:v>
                </c:pt>
                <c:pt idx="14">
                  <c:v>-47369909.951318361</c:v>
                </c:pt>
                <c:pt idx="15">
                  <c:v>-47693563.181546152</c:v>
                </c:pt>
                <c:pt idx="16">
                  <c:v>-48769357.839779794</c:v>
                </c:pt>
                <c:pt idx="17">
                  <c:v>-50086198.275047876</c:v>
                </c:pt>
                <c:pt idx="18">
                  <c:v>-49406205.595052309</c:v>
                </c:pt>
                <c:pt idx="19">
                  <c:v>-50708325.493694648</c:v>
                </c:pt>
                <c:pt idx="20">
                  <c:v>-51852122.309332237</c:v>
                </c:pt>
                <c:pt idx="21">
                  <c:v>-53021719.053169504</c:v>
                </c:pt>
                <c:pt idx="22">
                  <c:v>-54217697.678424105</c:v>
                </c:pt>
                <c:pt idx="23">
                  <c:v>-55440653.265171699</c:v>
                </c:pt>
                <c:pt idx="24">
                  <c:v>-56691194.316259272</c:v>
                </c:pt>
                <c:pt idx="25">
                  <c:v>-57969943.060227714</c:v>
                </c:pt>
                <c:pt idx="26">
                  <c:v>-59277535.760843344</c:v>
                </c:pt>
                <c:pt idx="27">
                  <c:v>-60614623.033608273</c:v>
                </c:pt>
                <c:pt idx="28">
                  <c:v>-61981870.169707164</c:v>
                </c:pt>
                <c:pt idx="29">
                  <c:v>-63379957.46678634</c:v>
                </c:pt>
                <c:pt idx="30">
                  <c:v>-64809580.567557432</c:v>
                </c:pt>
                <c:pt idx="31">
                  <c:v>-66271450.805912629</c:v>
                </c:pt>
                <c:pt idx="32">
                  <c:v>-67766295.560936511</c:v>
                </c:pt>
                <c:pt idx="33">
                  <c:v>-69294858.618707001</c:v>
                </c:pt>
                <c:pt idx="34">
                  <c:v>-70857900.542441398</c:v>
                </c:pt>
              </c:numCache>
            </c:numRef>
          </c:val>
          <c:extLst>
            <c:ext xmlns:c16="http://schemas.microsoft.com/office/drawing/2014/chart" uri="{C3380CC4-5D6E-409C-BE32-E72D297353CC}">
              <c16:uniqueId val="{00000003-7199-DE49-9B7F-66264CF4FC23}"/>
            </c:ext>
          </c:extLst>
        </c:ser>
        <c:dLbls>
          <c:showLegendKey val="0"/>
          <c:showVal val="0"/>
          <c:showCatName val="0"/>
          <c:showSerName val="0"/>
          <c:showPercent val="0"/>
          <c:showBubbleSize val="0"/>
        </c:dLbls>
        <c:gapWidth val="150"/>
        <c:overlap val="100"/>
        <c:axId val="2032319343"/>
        <c:axId val="2032322703"/>
      </c:barChart>
      <c:lineChart>
        <c:grouping val="standard"/>
        <c:varyColors val="0"/>
        <c:ser>
          <c:idx val="8"/>
          <c:order val="4"/>
          <c:tx>
            <c:strRef>
              <c:f>'3 Stats.'!$C$18:$H$18</c:f>
              <c:strCache>
                <c:ptCount val="6"/>
                <c:pt idx="0">
                  <c:v> EBITDA </c:v>
                </c:pt>
              </c:strCache>
            </c:strRef>
          </c:tx>
          <c:spPr>
            <a:ln w="28575" cap="rnd">
              <a:solidFill>
                <a:srgbClr val="00B050"/>
              </a:solidFill>
              <a:prstDash val="solid"/>
              <a:round/>
            </a:ln>
          </c:spPr>
          <c:marker>
            <c:symbol val="none"/>
          </c:marker>
          <c:cat>
            <c:numRef>
              <c:f>'3 Stats.'!$I$5:$AQ$5</c:f>
              <c:numCache>
                <c:formatCode>_-* #\ ##0_-;\-* #\ ##0_-;_-* "-"??_-;_-@_-</c:formatCode>
                <c:ptCount val="35"/>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numCache>
            </c:numRef>
          </c:cat>
          <c:val>
            <c:numRef>
              <c:f>'3 Stats.'!$I$18:$AQ$18</c:f>
              <c:numCache>
                <c:formatCode>_-* #\ ##0_-;\-* #\ ##0_-;_-* "-"??_-;_-@_-</c:formatCode>
                <c:ptCount val="35"/>
                <c:pt idx="1">
                  <c:v>6933912.2628454268</c:v>
                </c:pt>
                <c:pt idx="2">
                  <c:v>3969368.2057242095</c:v>
                </c:pt>
                <c:pt idx="3">
                  <c:v>2359097.724109903</c:v>
                </c:pt>
                <c:pt idx="4">
                  <c:v>1551790.8968338072</c:v>
                </c:pt>
                <c:pt idx="5">
                  <c:v>2066019.6789100766</c:v>
                </c:pt>
                <c:pt idx="6">
                  <c:v>1987111.6865664423</c:v>
                </c:pt>
                <c:pt idx="7">
                  <c:v>1880639.2849310935</c:v>
                </c:pt>
                <c:pt idx="8">
                  <c:v>1841770.5923024118</c:v>
                </c:pt>
                <c:pt idx="9">
                  <c:v>2073942.9938557297</c:v>
                </c:pt>
                <c:pt idx="10">
                  <c:v>2027089.2394685149</c:v>
                </c:pt>
                <c:pt idx="11">
                  <c:v>1928405.3080413491</c:v>
                </c:pt>
                <c:pt idx="12">
                  <c:v>1893829.8243059218</c:v>
                </c:pt>
                <c:pt idx="13">
                  <c:v>1551028.3534577936</c:v>
                </c:pt>
                <c:pt idx="14">
                  <c:v>1371421.2489845902</c:v>
                </c:pt>
                <c:pt idx="15">
                  <c:v>1173660.7417279184</c:v>
                </c:pt>
                <c:pt idx="16">
                  <c:v>1081522.8964203596</c:v>
                </c:pt>
                <c:pt idx="17">
                  <c:v>1011713.6383112073</c:v>
                </c:pt>
                <c:pt idx="18">
                  <c:v>658851.75867775083</c:v>
                </c:pt>
                <c:pt idx="19">
                  <c:v>569712.89039221406</c:v>
                </c:pt>
                <c:pt idx="20">
                  <c:v>447135.6629422605</c:v>
                </c:pt>
                <c:pt idx="21">
                  <c:v>315540.1954562068</c:v>
                </c:pt>
                <c:pt idx="22">
                  <c:v>174598.00217878819</c:v>
                </c:pt>
                <c:pt idx="23">
                  <c:v>23970.686572238803</c:v>
                </c:pt>
                <c:pt idx="24">
                  <c:v>-136690.33227446675</c:v>
                </c:pt>
                <c:pt idx="25">
                  <c:v>-307744.10038539767</c:v>
                </c:pt>
                <c:pt idx="26">
                  <c:v>-489560.41700556874</c:v>
                </c:pt>
                <c:pt idx="27">
                  <c:v>-682520.13024717569</c:v>
                </c:pt>
                <c:pt idx="28">
                  <c:v>-887015.44045060873</c:v>
                </c:pt>
                <c:pt idx="29">
                  <c:v>-1103450.2114970386</c:v>
                </c:pt>
                <c:pt idx="30">
                  <c:v>-1332240.2902276814</c:v>
                </c:pt>
                <c:pt idx="31">
                  <c:v>-1573813.8342017233</c:v>
                </c:pt>
                <c:pt idx="32">
                  <c:v>-1828611.6479928792</c:v>
                </c:pt>
                <c:pt idx="33">
                  <c:v>-2097087.5282523334</c:v>
                </c:pt>
                <c:pt idx="34">
                  <c:v>-2379708.6177423596</c:v>
                </c:pt>
              </c:numCache>
            </c:numRef>
          </c:val>
          <c:smooth val="0"/>
          <c:extLst>
            <c:ext xmlns:c16="http://schemas.microsoft.com/office/drawing/2014/chart" uri="{C3380CC4-5D6E-409C-BE32-E72D297353CC}">
              <c16:uniqueId val="{00000004-7199-DE49-9B7F-66264CF4FC23}"/>
            </c:ext>
          </c:extLst>
        </c:ser>
        <c:dLbls>
          <c:showLegendKey val="0"/>
          <c:showVal val="0"/>
          <c:showCatName val="0"/>
          <c:showSerName val="0"/>
          <c:showPercent val="0"/>
          <c:showBubbleSize val="0"/>
        </c:dLbls>
        <c:marker val="1"/>
        <c:smooth val="0"/>
        <c:axId val="2032319343"/>
        <c:axId val="2032322703"/>
      </c:lineChart>
      <c:catAx>
        <c:axId val="2032319343"/>
        <c:scaling>
          <c:orientation val="minMax"/>
        </c:scaling>
        <c:delete val="0"/>
        <c:axPos val="b"/>
        <c:numFmt formatCode="_-* #\ ##0_-;\-* #\ ##0_-;_-* &quot;-&quot;??_-;_-@_-" sourceLinked="1"/>
        <c:majorTickMark val="none"/>
        <c:minorTickMark val="none"/>
        <c:tickLblPos val="low"/>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32322703"/>
        <c:crosses val="autoZero"/>
        <c:auto val="1"/>
        <c:lblAlgn val="ctr"/>
        <c:lblOffset val="100"/>
        <c:noMultiLvlLbl val="0"/>
      </c:catAx>
      <c:valAx>
        <c:axId val="2032322703"/>
        <c:scaling>
          <c:orientation val="minMax"/>
          <c:max val="200000000"/>
          <c:min val="-200000000"/>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32319343"/>
        <c:crosses val="autoZero"/>
        <c:crossBetween val="between"/>
      </c:valAx>
    </c:plotArea>
    <c:legend>
      <c:legendPos val="b"/>
      <c:overlay val="0"/>
      <c:txPr>
        <a:bodyPr/>
        <a:lstStyle/>
        <a:p>
          <a:pPr>
            <a:defRPr sz="900" b="0">
              <a:solidFill>
                <a:srgbClr val="595959"/>
              </a:solidFill>
              <a:latin typeface="Arial"/>
            </a:defRPr>
          </a:pPr>
          <a:endParaRPr lang="en-FR"/>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7</xdr:col>
      <xdr:colOff>488127</xdr:colOff>
      <xdr:row>23</xdr:row>
      <xdr:rowOff>159259</xdr:rowOff>
    </xdr:from>
    <xdr:to>
      <xdr:col>14</xdr:col>
      <xdr:colOff>467807</xdr:colOff>
      <xdr:row>46</xdr:row>
      <xdr:rowOff>19559</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488127</xdr:colOff>
      <xdr:row>0</xdr:row>
      <xdr:rowOff>47820</xdr:rowOff>
    </xdr:from>
    <xdr:to>
      <xdr:col>14</xdr:col>
      <xdr:colOff>467807</xdr:colOff>
      <xdr:row>22</xdr:row>
      <xdr:rowOff>73220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9719</xdr:colOff>
      <xdr:row>0</xdr:row>
      <xdr:rowOff>47820</xdr:rowOff>
    </xdr:from>
    <xdr:to>
      <xdr:col>21</xdr:col>
      <xdr:colOff>802199</xdr:colOff>
      <xdr:row>22</xdr:row>
      <xdr:rowOff>73220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155574</xdr:colOff>
      <xdr:row>47</xdr:row>
      <xdr:rowOff>133859</xdr:rowOff>
    </xdr:from>
    <xdr:to>
      <xdr:col>7</xdr:col>
      <xdr:colOff>135254</xdr:colOff>
      <xdr:row>69</xdr:row>
      <xdr:rowOff>159259</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9719</xdr:colOff>
      <xdr:row>23</xdr:row>
      <xdr:rowOff>159259</xdr:rowOff>
    </xdr:from>
    <xdr:to>
      <xdr:col>21</xdr:col>
      <xdr:colOff>802199</xdr:colOff>
      <xdr:row>46</xdr:row>
      <xdr:rowOff>19559</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155574</xdr:colOff>
      <xdr:row>0</xdr:row>
      <xdr:rowOff>47820</xdr:rowOff>
    </xdr:from>
    <xdr:to>
      <xdr:col>7</xdr:col>
      <xdr:colOff>135254</xdr:colOff>
      <xdr:row>22</xdr:row>
      <xdr:rowOff>73220</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155574</xdr:colOff>
      <xdr:row>23</xdr:row>
      <xdr:rowOff>159259</xdr:rowOff>
    </xdr:from>
    <xdr:to>
      <xdr:col>7</xdr:col>
      <xdr:colOff>135254</xdr:colOff>
      <xdr:row>46</xdr:row>
      <xdr:rowOff>19559</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UCGArial">
  <a:themeElements>
    <a:clrScheme name="UCGColors">
      <a:dk1>
        <a:srgbClr val="000000"/>
      </a:dk1>
      <a:lt1>
        <a:srgbClr val="FFFFFF"/>
      </a:lt1>
      <a:dk2>
        <a:srgbClr val="666666"/>
      </a:dk2>
      <a:lt2>
        <a:srgbClr val="E5E5E5"/>
      </a:lt2>
      <a:accent1>
        <a:srgbClr val="E2001A"/>
      </a:accent1>
      <a:accent2>
        <a:srgbClr val="666666"/>
      </a:accent2>
      <a:accent3>
        <a:srgbClr val="4C4C4C"/>
      </a:accent3>
      <a:accent4>
        <a:srgbClr val="B8860B"/>
      </a:accent4>
      <a:accent5>
        <a:srgbClr val="EC6608"/>
      </a:accent5>
      <a:accent6>
        <a:srgbClr val="899E00"/>
      </a:accent6>
      <a:hlink>
        <a:srgbClr val="007A91"/>
      </a:hlink>
      <a:folHlink>
        <a:srgbClr val="007A95"/>
      </a:folHlink>
    </a:clrScheme>
    <a:fontScheme name="Arial">
      <a:majorFont>
        <a:latin typeface="Arial" panose="020B0604020202020204"/>
        <a:ea typeface=""/>
        <a:cs typeface=""/>
      </a:majorFont>
      <a:minorFont>
        <a:latin typeface="Arial" panose="020B060402020202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Downloads/clean.xlsx" TargetMode="External"/><Relationship Id="rId3" Type="http://schemas.openxmlformats.org/officeDocument/2006/relationships/hyperlink" Target="../../../../../../../Downloads/clean.xlsx" TargetMode="External"/><Relationship Id="rId7" Type="http://schemas.openxmlformats.org/officeDocument/2006/relationships/hyperlink" Target="../../../../../../../Downloads/clean.xlsx" TargetMode="External"/><Relationship Id="rId2" Type="http://schemas.openxmlformats.org/officeDocument/2006/relationships/hyperlink" Target="../../../../../../../Downloads/clean.xlsx" TargetMode="External"/><Relationship Id="rId1" Type="http://schemas.openxmlformats.org/officeDocument/2006/relationships/hyperlink" Target="../../../../../../../Downloads/clean.xlsx" TargetMode="External"/><Relationship Id="rId6" Type="http://schemas.openxmlformats.org/officeDocument/2006/relationships/hyperlink" Target="../../../../../../../Downloads/clean.xlsx" TargetMode="External"/><Relationship Id="rId5" Type="http://schemas.openxmlformats.org/officeDocument/2006/relationships/hyperlink" Target="../../../../../../../Downloads/clean.xlsx" TargetMode="External"/><Relationship Id="rId10" Type="http://schemas.openxmlformats.org/officeDocument/2006/relationships/hyperlink" Target="../../../../../../../Downloads/clean.xlsx" TargetMode="External"/><Relationship Id="rId4" Type="http://schemas.openxmlformats.org/officeDocument/2006/relationships/hyperlink" Target="../../../../../../../Downloads/clean.xlsx" TargetMode="External"/><Relationship Id="rId9" Type="http://schemas.openxmlformats.org/officeDocument/2006/relationships/hyperlink" Target="../../../../../../../Downloads/clean.xls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B2:H52"/>
  <sheetViews>
    <sheetView showGridLines="0" zoomScaleNormal="100" workbookViewId="0">
      <selection activeCell="D28" sqref="D28"/>
    </sheetView>
  </sheetViews>
  <sheetFormatPr baseColWidth="10" defaultColWidth="8.6640625" defaultRowHeight="13" x14ac:dyDescent="0.15"/>
  <cols>
    <col min="2" max="2" width="55" customWidth="1"/>
    <col min="3" max="3" width="4" customWidth="1"/>
    <col min="4" max="4" width="22" customWidth="1"/>
    <col min="5" max="5" width="16" customWidth="1"/>
    <col min="7" max="7" width="20" customWidth="1"/>
    <col min="8" max="8" width="55" customWidth="1"/>
  </cols>
  <sheetData>
    <row r="2" spans="2:8" ht="17.25" customHeight="1" x14ac:dyDescent="0.2">
      <c r="B2" s="1" t="s">
        <v>0</v>
      </c>
    </row>
    <row r="3" spans="2:8" ht="12.75" customHeight="1" x14ac:dyDescent="0.15">
      <c r="B3" s="2" t="s">
        <v>1</v>
      </c>
    </row>
    <row r="4" spans="2:8" ht="12.75" customHeight="1" x14ac:dyDescent="0.15">
      <c r="B4" s="191" t="s">
        <v>2</v>
      </c>
    </row>
    <row r="5" spans="2:8" ht="45" customHeight="1" x14ac:dyDescent="0.15">
      <c r="B5" s="192" t="s">
        <v>3</v>
      </c>
    </row>
    <row r="6" spans="2:8" ht="45" customHeight="1" x14ac:dyDescent="0.15">
      <c r="B6" s="192" t="s">
        <v>4</v>
      </c>
    </row>
    <row r="7" spans="2:8" ht="45" customHeight="1" x14ac:dyDescent="0.15">
      <c r="B7" s="192" t="s">
        <v>5</v>
      </c>
      <c r="G7" t="s">
        <v>6</v>
      </c>
    </row>
    <row r="8" spans="2:8" ht="45" customHeight="1" x14ac:dyDescent="0.15">
      <c r="B8" s="192" t="s">
        <v>7</v>
      </c>
      <c r="G8" t="s">
        <v>6</v>
      </c>
    </row>
    <row r="9" spans="2:8" ht="12.75" customHeight="1" x14ac:dyDescent="0.15">
      <c r="B9" s="2"/>
    </row>
    <row r="10" spans="2:8" ht="12.75" customHeight="1" x14ac:dyDescent="0.15"/>
    <row r="11" spans="2:8" ht="12.75" customHeight="1" x14ac:dyDescent="0.15">
      <c r="B11" s="3" t="s">
        <v>8</v>
      </c>
      <c r="C11" s="4"/>
      <c r="D11" s="4"/>
      <c r="E11" s="5"/>
      <c r="G11" s="6" t="s">
        <v>9</v>
      </c>
      <c r="H11" s="193" t="s">
        <v>10</v>
      </c>
    </row>
    <row r="12" spans="2:8" ht="28" customHeight="1" x14ac:dyDescent="0.15">
      <c r="B12" s="7" t="s">
        <v>11</v>
      </c>
      <c r="D12" s="194">
        <f>Ass.!D6</f>
        <v>500</v>
      </c>
      <c r="E12" s="8"/>
      <c r="G12" s="9" t="s">
        <v>12</v>
      </c>
      <c r="H12" s="192" t="s">
        <v>13</v>
      </c>
    </row>
    <row r="13" spans="2:8" ht="28" customHeight="1" x14ac:dyDescent="0.15">
      <c r="B13" s="7" t="s">
        <v>14</v>
      </c>
      <c r="D13" s="195">
        <f>Ass.!D14</f>
        <v>1150000</v>
      </c>
      <c r="E13" s="8"/>
      <c r="G13" s="9" t="s">
        <v>15</v>
      </c>
      <c r="H13" s="192" t="s">
        <v>16</v>
      </c>
    </row>
    <row r="14" spans="2:8" ht="28" customHeight="1" x14ac:dyDescent="0.15">
      <c r="B14" s="7" t="s">
        <v>17</v>
      </c>
      <c r="D14" s="196" t="str">
        <f>TEXT(Ass.!D16,"0%")&amp;" / "&amp;TEXT(Ass.!D17,"0%")</f>
        <v>60% / 40%</v>
      </c>
      <c r="E14" s="8"/>
      <c r="G14" s="9" t="s">
        <v>18</v>
      </c>
      <c r="H14" s="192" t="s">
        <v>19</v>
      </c>
    </row>
    <row r="15" spans="2:8" ht="28" customHeight="1" x14ac:dyDescent="0.15">
      <c r="B15" s="7" t="s">
        <v>20</v>
      </c>
      <c r="D15" s="197">
        <f>Ass.!D21</f>
        <v>30</v>
      </c>
      <c r="E15" s="8"/>
      <c r="G15" s="9" t="s">
        <v>21</v>
      </c>
      <c r="H15" s="192" t="s">
        <v>22</v>
      </c>
    </row>
    <row r="16" spans="2:8" ht="28" customHeight="1" x14ac:dyDescent="0.15">
      <c r="B16" s="7" t="s">
        <v>23</v>
      </c>
      <c r="D16" s="198">
        <f>Ass.!D25</f>
        <v>1.2</v>
      </c>
      <c r="E16" s="8"/>
      <c r="G16" s="9" t="s">
        <v>24</v>
      </c>
      <c r="H16" s="192" t="s">
        <v>25</v>
      </c>
    </row>
    <row r="17" spans="2:8" ht="28" customHeight="1" x14ac:dyDescent="0.15">
      <c r="B17" s="7" t="s">
        <v>26</v>
      </c>
      <c r="D17" s="196" t="str">
        <f>TEXT(Ass.!D7,"0%")</f>
        <v>65%</v>
      </c>
      <c r="E17" s="8"/>
      <c r="G17" s="9" t="s">
        <v>27</v>
      </c>
      <c r="H17" s="192" t="s">
        <v>28</v>
      </c>
    </row>
    <row r="18" spans="2:8" ht="28" customHeight="1" x14ac:dyDescent="0.15">
      <c r="B18" s="7"/>
      <c r="D18" s="199"/>
      <c r="E18" s="8"/>
      <c r="G18" s="9" t="s">
        <v>29</v>
      </c>
      <c r="H18" s="192" t="s">
        <v>30</v>
      </c>
    </row>
    <row r="19" spans="2:8" ht="28" customHeight="1" x14ac:dyDescent="0.15">
      <c r="B19" s="11" t="s">
        <v>31</v>
      </c>
      <c r="C19" s="12"/>
      <c r="D19" s="200" t="str">
        <f>TEXT(Ass.!D34,"€#,##0")&amp;" every "&amp;Ass.!D35&amp;" yrs"</f>
        <v>€6000000,0 every 6 yrs</v>
      </c>
      <c r="E19" s="13"/>
      <c r="G19" s="9" t="s">
        <v>32</v>
      </c>
      <c r="H19" s="192" t="s">
        <v>33</v>
      </c>
    </row>
    <row r="20" spans="2:8" ht="28" customHeight="1" x14ac:dyDescent="0.15">
      <c r="D20" s="201"/>
      <c r="G20" s="9" t="s">
        <v>34</v>
      </c>
      <c r="H20" s="192" t="s">
        <v>35</v>
      </c>
    </row>
    <row r="21" spans="2:8" ht="28" customHeight="1" x14ac:dyDescent="0.15">
      <c r="B21" s="3" t="s">
        <v>36</v>
      </c>
      <c r="C21" s="4"/>
      <c r="D21" s="202"/>
      <c r="E21" s="5"/>
      <c r="G21" s="9" t="s">
        <v>37</v>
      </c>
      <c r="H21" s="192" t="s">
        <v>38</v>
      </c>
    </row>
    <row r="22" spans="2:8" ht="28" customHeight="1" x14ac:dyDescent="0.15">
      <c r="B22" s="7" t="s">
        <v>39</v>
      </c>
      <c r="D22" s="203">
        <f ca="1">Val.!C16</f>
        <v>-4.7764645343147172E-2</v>
      </c>
      <c r="E22" s="8"/>
      <c r="G22" s="9" t="s">
        <v>40</v>
      </c>
      <c r="H22" s="192" t="s">
        <v>41</v>
      </c>
    </row>
    <row r="23" spans="2:8" ht="28" customHeight="1" x14ac:dyDescent="0.15">
      <c r="B23" s="7" t="s">
        <v>42</v>
      </c>
      <c r="D23" s="204">
        <f>Val.!D20</f>
        <v>0.06</v>
      </c>
      <c r="E23" s="8"/>
      <c r="G23" s="9" t="s">
        <v>43</v>
      </c>
      <c r="H23" s="192" t="s">
        <v>44</v>
      </c>
    </row>
    <row r="24" spans="2:8" ht="12.75" customHeight="1" x14ac:dyDescent="0.15">
      <c r="B24" s="7" t="s">
        <v>45</v>
      </c>
      <c r="D24" s="195">
        <f ca="1">Val.!D25</f>
        <v>82652349.072364762</v>
      </c>
      <c r="E24" s="8"/>
    </row>
    <row r="25" spans="2:8" ht="12.75" customHeight="1" x14ac:dyDescent="0.15">
      <c r="B25" s="11" t="s">
        <v>46</v>
      </c>
      <c r="C25" s="12"/>
      <c r="D25" s="205">
        <f ca="1">Val.!D27</f>
        <v>25590745.363509264</v>
      </c>
      <c r="E25" s="13"/>
    </row>
    <row r="26" spans="2:8" ht="12.75" customHeight="1" x14ac:dyDescent="0.15">
      <c r="D26" s="201"/>
    </row>
    <row r="27" spans="2:8" ht="12.75" customHeight="1" x14ac:dyDescent="0.15">
      <c r="B27" s="3" t="s">
        <v>47</v>
      </c>
      <c r="C27" s="4"/>
      <c r="D27" s="202"/>
      <c r="E27" s="5"/>
    </row>
    <row r="28" spans="2:8" x14ac:dyDescent="0.15">
      <c r="B28" s="7" t="s">
        <v>48</v>
      </c>
      <c r="D28" s="196" t="str">
        <f t="array" aca="1" ref="D28" ca="1">IF(SUMPRODUCT(MAX(ABS('3 Stats.'!J65:AQ65)))&lt;1,"PASS","FAIL")</f>
        <v>PASS</v>
      </c>
      <c r="E28" s="14">
        <f>IFERROR(SUMPRODUCT(MAX(ABS('3 Stats.'!J65:AQ65))),0)</f>
        <v>0</v>
      </c>
    </row>
    <row r="29" spans="2:8" x14ac:dyDescent="0.15">
      <c r="B29" s="7" t="s">
        <v>49</v>
      </c>
      <c r="D29" s="196" t="str">
        <f ca="1">IF(MIN(Gear.!J26:AQ26)&gt;=Ass.!D25-0.005,"PASS","FAIL")</f>
        <v>FAIL</v>
      </c>
      <c r="E29" s="15">
        <f ca="1">MIN(Gear.!J26:AQ26)</f>
        <v>0</v>
      </c>
    </row>
    <row r="30" spans="2:8" ht="13.5" customHeight="1" x14ac:dyDescent="0.15">
      <c r="B30" s="7" t="s">
        <v>50</v>
      </c>
      <c r="D30" s="196" t="str">
        <f ca="1">IF(MIN(Gear.!J57:AP57)&gt;=0,"PASS","FAIL")</f>
        <v>PASS</v>
      </c>
      <c r="E30" s="14">
        <f ca="1">MIN(Gear.!J57:AP57)</f>
        <v>6933912.2628454268</v>
      </c>
    </row>
    <row r="31" spans="2:8" ht="12.75" customHeight="1" x14ac:dyDescent="0.15">
      <c r="B31" s="7" t="s">
        <v>51</v>
      </c>
      <c r="D31" s="196" t="str">
        <f ca="1">IF(AND(Financ.!AQ21&gt;=-1,Financ.!AQ21&lt;=Ass.!D16*Ass.!G12),"PASS","FAIL")</f>
        <v>PASS</v>
      </c>
      <c r="E31" s="14">
        <f ca="1">Financ.!AQ21</f>
        <v>0</v>
      </c>
    </row>
    <row r="32" spans="2:8" x14ac:dyDescent="0.15">
      <c r="B32" s="11" t="s">
        <v>52</v>
      </c>
      <c r="C32" s="12"/>
      <c r="D32" s="200" t="str">
        <f ca="1">IF(MIN('3 Stats.'!M18:AQ18)&gt;0,"PASS","FAIL")</f>
        <v>FAIL</v>
      </c>
      <c r="E32" s="16">
        <f ca="1">MIN('3 Stats.'!M18:AQ18)</f>
        <v>-2379708.6177423596</v>
      </c>
    </row>
    <row r="33" spans="2:2" ht="12.75" customHeight="1" x14ac:dyDescent="0.15"/>
    <row r="35" spans="2:2" ht="12.75" customHeight="1" x14ac:dyDescent="0.15">
      <c r="B35" s="6" t="s">
        <v>53</v>
      </c>
    </row>
    <row r="36" spans="2:2" x14ac:dyDescent="0.15">
      <c r="B36" s="17" t="s">
        <v>54</v>
      </c>
    </row>
    <row r="37" spans="2:2" ht="12.75" customHeight="1" x14ac:dyDescent="0.15"/>
    <row r="38" spans="2:2" x14ac:dyDescent="0.15">
      <c r="B38" s="17" t="s">
        <v>55</v>
      </c>
    </row>
    <row r="39" spans="2:2" ht="12.75" customHeight="1" x14ac:dyDescent="0.15"/>
    <row r="40" spans="2:2" x14ac:dyDescent="0.15">
      <c r="B40" s="17" t="s">
        <v>56</v>
      </c>
    </row>
    <row r="42" spans="2:2" ht="13.5" customHeight="1" x14ac:dyDescent="0.15">
      <c r="B42" s="17"/>
    </row>
    <row r="43" spans="2:2" ht="12.75" customHeight="1" x14ac:dyDescent="0.15"/>
    <row r="44" spans="2:2" x14ac:dyDescent="0.15">
      <c r="B44" s="17" t="s">
        <v>57</v>
      </c>
    </row>
    <row r="45" spans="2:2" ht="12.75" customHeight="1" x14ac:dyDescent="0.15"/>
    <row r="47" spans="2:2" ht="12.75" customHeight="1" x14ac:dyDescent="0.15">
      <c r="B47" s="6"/>
    </row>
    <row r="48" spans="2:2" x14ac:dyDescent="0.15">
      <c r="B48" s="17"/>
    </row>
    <row r="50" spans="2:2" x14ac:dyDescent="0.15">
      <c r="B50" s="17"/>
    </row>
    <row r="52" spans="2:2" x14ac:dyDescent="0.15">
      <c r="B52" s="17"/>
    </row>
  </sheetData>
  <conditionalFormatting sqref="D23:D27">
    <cfRule type="cellIs" dxfId="1" priority="2" operator="equal">
      <formula>"PASS"</formula>
    </cfRule>
    <cfRule type="cellIs" dxfId="0" priority="3" operator="equal">
      <formula>"FAIL"</formula>
    </cfRule>
  </conditionalFormatting>
  <hyperlinks>
    <hyperlink ref="G7" r:id="rId1" location="'Ass.'!A1" xr:uid="{00000000-0004-0000-0000-000000000000}"/>
    <hyperlink ref="G8" r:id="rId2" location="'Gas%20prc.'!A1" xr:uid="{00000000-0004-0000-0000-000001000000}"/>
    <hyperlink ref="G11" r:id="rId3" location="'Ops.'!A1" xr:uid="{00000000-0004-0000-0000-000002000000}"/>
    <hyperlink ref="G12" r:id="rId4" location="'Rev.'!A1" xr:uid="{00000000-0004-0000-0000-000003000000}"/>
    <hyperlink ref="G13" r:id="rId5" location="'3%20Stats.'!A1" xr:uid="{00000000-0004-0000-0000-000004000000}"/>
    <hyperlink ref="G14" r:id="rId6" location="'Financ.'!A1" xr:uid="{00000000-0004-0000-0000-000005000000}"/>
    <hyperlink ref="G15" r:id="rId7" location="'Gear.'!A1" xr:uid="{00000000-0004-0000-0000-000006000000}"/>
    <hyperlink ref="G16" r:id="rId8" location="'Val.'!A1" xr:uid="{00000000-0004-0000-0000-000007000000}"/>
    <hyperlink ref="G17" r:id="rId9" location="'Scen.%20&amp;%20Sensi.'!A1" xr:uid="{00000000-0004-0000-0000-000008000000}"/>
    <hyperlink ref="G18" r:id="rId10" location="'Graphs'!A1" xr:uid="{00000000-0004-0000-0000-000009000000}"/>
  </hyperlinks>
  <pageMargins left="0.7" right="0.7" top="0.75" bottom="0.75" header="0.511811023622047" footer="0.511811023622047"/>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4E78"/>
  </sheetPr>
  <dimension ref="A1"/>
  <sheetViews>
    <sheetView showGridLines="0" tabSelected="1" zoomScaleNormal="100" workbookViewId="0">
      <selection activeCell="O25" sqref="O25"/>
    </sheetView>
  </sheetViews>
  <sheetFormatPr baseColWidth="10" defaultColWidth="10.6640625" defaultRowHeight="13" x14ac:dyDescent="0.15"/>
  <sheetData/>
  <pageMargins left="0.7" right="0.7" top="0.75" bottom="0.75"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F8F00"/>
    <pageSetUpPr fitToPage="1"/>
  </sheetPr>
  <dimension ref="A2:AR44"/>
  <sheetViews>
    <sheetView showGridLines="0" topLeftCell="I1" zoomScaleNormal="100" workbookViewId="0">
      <selection activeCell="M30" sqref="M30:M33"/>
    </sheetView>
  </sheetViews>
  <sheetFormatPr baseColWidth="10" defaultColWidth="9.1640625" defaultRowHeight="13" outlineLevelCol="1" x14ac:dyDescent="0.15"/>
  <cols>
    <col min="1" max="2" width="9.1640625" hidden="1" customWidth="1" outlineLevel="1"/>
    <col min="3" max="3" width="27.83203125" hidden="1" customWidth="1" outlineLevel="1"/>
    <col min="4" max="4" width="13.1640625" hidden="1" customWidth="1" outlineLevel="1"/>
    <col min="5" max="6" width="9.1640625" hidden="1" customWidth="1" outlineLevel="1"/>
    <col min="7" max="7" width="12.5" hidden="1" customWidth="1" outlineLevel="1"/>
    <col min="8" max="8" width="9.1640625" hidden="1" customWidth="1" outlineLevel="1"/>
    <col min="9" max="9" width="9.1640625" customWidth="1" collapsed="1"/>
    <col min="13" max="13" width="9.83203125" bestFit="1" customWidth="1"/>
    <col min="15" max="16" width="9.83203125" bestFit="1" customWidth="1"/>
  </cols>
  <sheetData>
    <row r="2" spans="2:17" ht="18" customHeight="1" x14ac:dyDescent="0.2">
      <c r="J2" s="1" t="s">
        <v>58</v>
      </c>
      <c r="K2" s="1"/>
      <c r="L2" s="1"/>
    </row>
    <row r="4" spans="2:17" ht="14" customHeight="1" x14ac:dyDescent="0.15">
      <c r="J4" s="6" t="s">
        <v>59</v>
      </c>
      <c r="K4" s="6"/>
      <c r="L4" s="6"/>
      <c r="M4" s="79" t="s">
        <v>60</v>
      </c>
    </row>
    <row r="5" spans="2:17" ht="12.75" customHeight="1" x14ac:dyDescent="0.15">
      <c r="B5" t="s">
        <v>61</v>
      </c>
    </row>
    <row r="6" spans="2:17" ht="12.75" customHeight="1" x14ac:dyDescent="0.15">
      <c r="C6" t="s">
        <v>62</v>
      </c>
      <c r="D6" s="149">
        <f>M7</f>
        <v>500</v>
      </c>
      <c r="E6" s="72"/>
      <c r="F6" s="72"/>
      <c r="G6" s="72"/>
      <c r="J6" s="10" t="s">
        <v>63</v>
      </c>
      <c r="K6" s="10"/>
      <c r="L6" s="10"/>
      <c r="M6" s="10" t="s">
        <v>64</v>
      </c>
      <c r="O6" s="10" t="s">
        <v>60</v>
      </c>
      <c r="P6" s="10" t="s">
        <v>65</v>
      </c>
      <c r="Q6" s="10" t="s">
        <v>66</v>
      </c>
    </row>
    <row r="7" spans="2:17" ht="12.75" customHeight="1" x14ac:dyDescent="0.15">
      <c r="C7" t="s">
        <v>67</v>
      </c>
      <c r="D7" s="150">
        <f>M8</f>
        <v>0.65</v>
      </c>
      <c r="E7" s="72"/>
      <c r="F7" s="72"/>
      <c r="G7" s="72"/>
      <c r="J7" s="2" t="s">
        <v>62</v>
      </c>
      <c r="K7" s="2"/>
      <c r="L7" s="2"/>
      <c r="M7" s="18">
        <f t="shared" ref="M7:M26" si="0">INDEX($J$6:$Q$26,MATCH($J7,$J$6:$J$26,0),MATCH($M$4,$J$6:$Q$6,0))</f>
        <v>500</v>
      </c>
      <c r="N7" s="50"/>
      <c r="O7" s="18">
        <v>500</v>
      </c>
      <c r="P7" s="18">
        <v>500</v>
      </c>
    </row>
    <row r="8" spans="2:17" ht="12.75" customHeight="1" x14ac:dyDescent="0.15">
      <c r="C8" t="s">
        <v>68</v>
      </c>
      <c r="D8" s="151">
        <f>M9</f>
        <v>2.5000000000000001E-3</v>
      </c>
      <c r="E8" s="72"/>
      <c r="F8" s="72"/>
      <c r="G8" s="72"/>
      <c r="J8" s="2" t="s">
        <v>69</v>
      </c>
      <c r="K8" s="2"/>
      <c r="L8" s="2"/>
      <c r="M8" s="27">
        <f t="shared" si="0"/>
        <v>0.65</v>
      </c>
      <c r="N8" s="48"/>
      <c r="O8" s="27">
        <v>0.65</v>
      </c>
      <c r="P8" s="27">
        <v>0.65</v>
      </c>
    </row>
    <row r="9" spans="2:17" ht="12.75" customHeight="1" x14ac:dyDescent="0.15">
      <c r="C9" t="s">
        <v>70</v>
      </c>
      <c r="D9" s="152">
        <f>YEAR(EOMONTH(D31,12))</f>
        <v>2028</v>
      </c>
      <c r="E9" s="72"/>
      <c r="F9" s="72"/>
      <c r="G9" s="72"/>
      <c r="J9" s="2" t="s">
        <v>71</v>
      </c>
      <c r="K9" s="2"/>
      <c r="L9" s="2"/>
      <c r="M9" s="20">
        <f t="shared" si="0"/>
        <v>2.5000000000000001E-3</v>
      </c>
      <c r="N9" s="48"/>
      <c r="O9" s="20">
        <v>2.5000000000000001E-3</v>
      </c>
      <c r="P9" s="20">
        <v>2.5000000000000001E-3</v>
      </c>
    </row>
    <row r="10" spans="2:17" ht="12.75" customHeight="1" x14ac:dyDescent="0.15">
      <c r="B10" t="s">
        <v>72</v>
      </c>
      <c r="D10" s="152"/>
      <c r="E10" s="72"/>
      <c r="F10" s="72"/>
      <c r="G10" s="72"/>
      <c r="J10" s="2" t="s">
        <v>73</v>
      </c>
      <c r="K10" s="2"/>
      <c r="L10" s="2"/>
      <c r="M10" s="113">
        <f t="shared" si="0"/>
        <v>0</v>
      </c>
      <c r="N10" s="77"/>
      <c r="O10" s="113">
        <v>0</v>
      </c>
      <c r="P10" s="113">
        <v>0</v>
      </c>
    </row>
    <row r="11" spans="2:17" x14ac:dyDescent="0.15">
      <c r="C11" t="s">
        <v>74</v>
      </c>
      <c r="D11" s="152">
        <f>M10</f>
        <v>0</v>
      </c>
      <c r="E11" s="72"/>
      <c r="F11" s="72"/>
      <c r="G11" s="72"/>
      <c r="J11" s="2" t="s">
        <v>75</v>
      </c>
      <c r="K11" s="2"/>
      <c r="L11" s="2"/>
      <c r="M11" s="107">
        <f t="shared" si="0"/>
        <v>30</v>
      </c>
      <c r="N11" s="77"/>
      <c r="O11" s="107">
        <v>30</v>
      </c>
      <c r="P11" s="107">
        <v>30</v>
      </c>
    </row>
    <row r="12" spans="2:17" ht="12.75" customHeight="1" x14ac:dyDescent="0.15">
      <c r="C12" t="s">
        <v>76</v>
      </c>
      <c r="D12" s="153">
        <f>M11</f>
        <v>30</v>
      </c>
      <c r="E12" s="72"/>
      <c r="F12" s="72" t="s">
        <v>77</v>
      </c>
      <c r="G12" s="154">
        <f>IF(D11=1,D14*D6,0)</f>
        <v>0</v>
      </c>
      <c r="J12" s="2" t="s">
        <v>78</v>
      </c>
      <c r="K12" s="2"/>
      <c r="L12" s="2"/>
      <c r="M12" s="108">
        <f t="shared" si="0"/>
        <v>46568</v>
      </c>
      <c r="N12" s="77"/>
      <c r="O12" s="108">
        <v>46568</v>
      </c>
      <c r="P12" s="108">
        <v>46568</v>
      </c>
    </row>
    <row r="13" spans="2:17" ht="12.75" customHeight="1" x14ac:dyDescent="0.15">
      <c r="C13" t="s">
        <v>79</v>
      </c>
      <c r="D13" s="155">
        <f>M12</f>
        <v>46568</v>
      </c>
      <c r="E13" s="72"/>
      <c r="F13" s="72" t="s">
        <v>80</v>
      </c>
      <c r="G13" s="154">
        <f>IF(D11=1,SUM('Const.'!I35:M35),D6*1000000)</f>
        <v>500000000</v>
      </c>
      <c r="J13" s="2" t="s">
        <v>81</v>
      </c>
      <c r="K13" s="2"/>
      <c r="L13" s="2"/>
      <c r="M13" s="51">
        <f t="shared" si="0"/>
        <v>1150000</v>
      </c>
      <c r="N13" s="52"/>
      <c r="O13" s="51">
        <v>1150000</v>
      </c>
      <c r="P13" s="51">
        <v>1150000</v>
      </c>
    </row>
    <row r="14" spans="2:17" ht="12.75" customHeight="1" x14ac:dyDescent="0.15">
      <c r="C14" t="s">
        <v>82</v>
      </c>
      <c r="D14" s="156">
        <f>M13</f>
        <v>1150000</v>
      </c>
      <c r="E14" s="72"/>
      <c r="F14" s="72"/>
      <c r="G14" s="72"/>
      <c r="J14" s="2" t="s">
        <v>83</v>
      </c>
      <c r="K14" s="2"/>
      <c r="L14" s="2"/>
      <c r="M14" s="27">
        <f t="shared" si="0"/>
        <v>0.6</v>
      </c>
      <c r="N14" s="48"/>
      <c r="O14" s="27">
        <v>0.6</v>
      </c>
      <c r="P14" s="27">
        <v>0.6</v>
      </c>
    </row>
    <row r="15" spans="2:17" ht="12.75" customHeight="1" x14ac:dyDescent="0.15">
      <c r="B15" t="s">
        <v>84</v>
      </c>
      <c r="D15" s="152"/>
      <c r="E15" s="72"/>
      <c r="F15" s="72" t="s">
        <v>85</v>
      </c>
      <c r="G15" s="154">
        <f>IF($D$11=1,$G$12*D16,0)</f>
        <v>0</v>
      </c>
      <c r="J15" s="2" t="s">
        <v>86</v>
      </c>
      <c r="K15" s="2"/>
      <c r="L15" s="2"/>
      <c r="M15" s="20">
        <f t="shared" si="0"/>
        <v>0.02</v>
      </c>
      <c r="N15" s="29"/>
      <c r="O15" s="20">
        <v>0.02</v>
      </c>
      <c r="P15" s="20">
        <v>0.02</v>
      </c>
    </row>
    <row r="16" spans="2:17" x14ac:dyDescent="0.15">
      <c r="C16" t="s">
        <v>87</v>
      </c>
      <c r="D16" s="150">
        <f>M14</f>
        <v>0.6</v>
      </c>
      <c r="E16" s="72"/>
      <c r="F16" s="72" t="s">
        <v>88</v>
      </c>
      <c r="G16" s="154">
        <f>IF($D$11=1,$G$12*D17,0)</f>
        <v>0</v>
      </c>
      <c r="J16" s="2" t="s">
        <v>89</v>
      </c>
      <c r="K16" s="2"/>
      <c r="L16" s="2"/>
      <c r="M16" s="24">
        <f t="shared" si="0"/>
        <v>30</v>
      </c>
      <c r="N16" s="45"/>
      <c r="O16" s="24">
        <v>30</v>
      </c>
      <c r="P16" s="24">
        <v>30</v>
      </c>
    </row>
    <row r="17" spans="2:16" ht="12.75" customHeight="1" x14ac:dyDescent="0.15">
      <c r="C17" t="s">
        <v>90</v>
      </c>
      <c r="D17" s="150">
        <f>1-D16</f>
        <v>0.4</v>
      </c>
      <c r="E17" s="72"/>
      <c r="F17" s="72"/>
      <c r="G17" s="72"/>
      <c r="J17" s="2" t="s">
        <v>91</v>
      </c>
      <c r="K17" s="2"/>
      <c r="L17" s="2"/>
      <c r="M17" s="24">
        <f t="shared" si="0"/>
        <v>6</v>
      </c>
      <c r="N17" s="45"/>
      <c r="O17" s="24">
        <v>6</v>
      </c>
      <c r="P17" s="24">
        <v>6</v>
      </c>
    </row>
    <row r="18" spans="2:16" ht="12.75" customHeight="1" x14ac:dyDescent="0.15">
      <c r="B18" t="s">
        <v>92</v>
      </c>
      <c r="D18" s="150"/>
      <c r="E18" s="72"/>
      <c r="F18" s="72"/>
      <c r="G18" s="72"/>
      <c r="J18" s="2" t="s">
        <v>93</v>
      </c>
      <c r="K18" s="2"/>
      <c r="L18" s="2"/>
      <c r="M18" s="25">
        <f t="shared" si="0"/>
        <v>1.2</v>
      </c>
      <c r="N18" s="26"/>
      <c r="O18" s="25">
        <v>1.2</v>
      </c>
      <c r="P18" s="25">
        <v>1.2</v>
      </c>
    </row>
    <row r="19" spans="2:16" ht="12.75" customHeight="1" x14ac:dyDescent="0.15">
      <c r="C19" t="s">
        <v>94</v>
      </c>
      <c r="D19" s="150">
        <f>M15</f>
        <v>0.02</v>
      </c>
      <c r="E19" s="72"/>
      <c r="F19" s="72"/>
      <c r="G19" s="72"/>
      <c r="J19" s="2" t="s">
        <v>95</v>
      </c>
      <c r="K19" s="2"/>
      <c r="L19" s="2"/>
      <c r="M19" s="25">
        <f t="shared" si="0"/>
        <v>5</v>
      </c>
      <c r="N19" s="26"/>
      <c r="O19" s="25">
        <v>5</v>
      </c>
      <c r="P19" s="25">
        <v>5</v>
      </c>
    </row>
    <row r="20" spans="2:16" ht="12.75" customHeight="1" x14ac:dyDescent="0.15">
      <c r="C20" t="s">
        <v>96</v>
      </c>
      <c r="D20" s="152">
        <f>D40</f>
        <v>0</v>
      </c>
      <c r="E20" s="72"/>
      <c r="F20" s="72"/>
      <c r="G20" s="72"/>
      <c r="J20" s="2" t="s">
        <v>97</v>
      </c>
      <c r="K20" s="2"/>
      <c r="L20" s="2"/>
      <c r="M20" s="27">
        <f t="shared" si="0"/>
        <v>0.06</v>
      </c>
      <c r="N20" s="48"/>
      <c r="O20" s="27">
        <v>0.06</v>
      </c>
      <c r="P20" s="27">
        <v>0.06</v>
      </c>
    </row>
    <row r="21" spans="2:16" ht="12.75" customHeight="1" x14ac:dyDescent="0.15">
      <c r="C21" t="s">
        <v>89</v>
      </c>
      <c r="D21" s="157">
        <f>M16</f>
        <v>30</v>
      </c>
      <c r="E21" s="72"/>
      <c r="F21" s="72"/>
      <c r="G21" s="72"/>
      <c r="J21" s="2" t="s">
        <v>98</v>
      </c>
      <c r="K21" s="2"/>
      <c r="L21" s="2"/>
      <c r="M21" s="51">
        <f t="shared" si="0"/>
        <v>12000</v>
      </c>
      <c r="N21" s="52"/>
      <c r="O21" s="51">
        <v>12000</v>
      </c>
      <c r="P21" s="51">
        <v>15000</v>
      </c>
    </row>
    <row r="22" spans="2:16" ht="12.75" customHeight="1" x14ac:dyDescent="0.15">
      <c r="C22" t="s">
        <v>99</v>
      </c>
      <c r="D22" s="157">
        <f>M17</f>
        <v>6</v>
      </c>
      <c r="E22" s="72"/>
      <c r="F22" s="72"/>
      <c r="G22" s="72"/>
      <c r="J22" s="2" t="s">
        <v>100</v>
      </c>
      <c r="K22" s="2"/>
      <c r="L22" s="2"/>
      <c r="M22" s="28">
        <f t="shared" si="0"/>
        <v>1.5</v>
      </c>
      <c r="N22" s="53"/>
      <c r="O22" s="28">
        <v>1.5</v>
      </c>
      <c r="P22" s="28">
        <v>2</v>
      </c>
    </row>
    <row r="23" spans="2:16" ht="12.75" customHeight="1" x14ac:dyDescent="0.15">
      <c r="C23" t="s">
        <v>101</v>
      </c>
      <c r="D23" s="152">
        <v>2030</v>
      </c>
      <c r="E23" s="72"/>
      <c r="F23" s="72"/>
      <c r="G23" s="72"/>
      <c r="J23" s="2" t="s">
        <v>102</v>
      </c>
      <c r="K23" s="2"/>
      <c r="L23" s="2"/>
      <c r="M23" s="51">
        <f t="shared" si="0"/>
        <v>6000000</v>
      </c>
      <c r="N23" s="52"/>
      <c r="O23" s="51">
        <v>6000000</v>
      </c>
      <c r="P23" s="51">
        <v>6000000</v>
      </c>
    </row>
    <row r="24" spans="2:16" ht="12.75" customHeight="1" x14ac:dyDescent="0.15">
      <c r="C24" t="s">
        <v>103</v>
      </c>
      <c r="D24" s="152"/>
      <c r="E24" s="72"/>
      <c r="F24" s="72"/>
      <c r="G24" s="72"/>
      <c r="J24" s="2" t="s">
        <v>104</v>
      </c>
      <c r="K24" s="2"/>
      <c r="L24" s="2"/>
      <c r="M24" s="24">
        <f t="shared" si="0"/>
        <v>6</v>
      </c>
      <c r="N24" s="45"/>
      <c r="O24" s="24">
        <v>6</v>
      </c>
      <c r="P24" s="24">
        <v>6</v>
      </c>
    </row>
    <row r="25" spans="2:16" ht="12.75" customHeight="1" x14ac:dyDescent="0.15">
      <c r="C25" t="s">
        <v>105</v>
      </c>
      <c r="D25" s="158">
        <f>M18</f>
        <v>1.2</v>
      </c>
      <c r="E25" s="72"/>
      <c r="F25" s="72"/>
      <c r="G25" s="72"/>
      <c r="J25" s="2" t="s">
        <v>106</v>
      </c>
      <c r="K25" s="2"/>
      <c r="L25" s="2"/>
      <c r="M25" s="27">
        <f t="shared" si="0"/>
        <v>0.25</v>
      </c>
      <c r="N25" s="48"/>
      <c r="O25" s="27">
        <v>0.25</v>
      </c>
      <c r="P25" s="27">
        <v>0.25</v>
      </c>
    </row>
    <row r="26" spans="2:16" ht="12.75" customHeight="1" x14ac:dyDescent="0.15">
      <c r="C26" t="s">
        <v>107</v>
      </c>
      <c r="D26" s="158">
        <f>M19</f>
        <v>5</v>
      </c>
      <c r="E26" s="72"/>
      <c r="F26" s="72"/>
      <c r="G26" s="72"/>
      <c r="J26" s="2" t="s">
        <v>108</v>
      </c>
      <c r="K26" s="2"/>
      <c r="L26" s="2"/>
      <c r="M26" s="27">
        <f t="shared" si="0"/>
        <v>0.5</v>
      </c>
      <c r="N26" s="48"/>
      <c r="O26" s="27">
        <v>0.5</v>
      </c>
      <c r="P26" s="27">
        <v>0.5</v>
      </c>
    </row>
    <row r="27" spans="2:16" ht="12.75" customHeight="1" x14ac:dyDescent="0.15">
      <c r="B27" t="s">
        <v>90</v>
      </c>
      <c r="D27" s="152"/>
      <c r="E27" s="72"/>
      <c r="F27" s="72"/>
      <c r="G27" s="72"/>
    </row>
    <row r="28" spans="2:16" ht="12.75" customHeight="1" x14ac:dyDescent="0.15">
      <c r="C28" t="s">
        <v>109</v>
      </c>
      <c r="D28" s="156">
        <f>G16</f>
        <v>0</v>
      </c>
      <c r="E28" s="72"/>
      <c r="F28" s="72"/>
      <c r="G28" s="72"/>
    </row>
    <row r="29" spans="2:16" ht="12.75" customHeight="1" x14ac:dyDescent="0.15">
      <c r="C29" t="s">
        <v>110</v>
      </c>
      <c r="D29" s="159">
        <f>M20</f>
        <v>0.06</v>
      </c>
      <c r="E29" s="72"/>
      <c r="F29" s="72"/>
      <c r="G29" s="72"/>
      <c r="J29" s="163" t="s">
        <v>111</v>
      </c>
    </row>
    <row r="30" spans="2:16" ht="12.75" customHeight="1" x14ac:dyDescent="0.15">
      <c r="B30" t="s">
        <v>112</v>
      </c>
      <c r="D30" s="152"/>
      <c r="E30" s="72"/>
      <c r="F30" s="72"/>
      <c r="G30" s="72"/>
      <c r="J30" t="s">
        <v>113</v>
      </c>
      <c r="K30" s="72"/>
      <c r="L30" s="72"/>
      <c r="M30" s="188">
        <v>0</v>
      </c>
      <c r="N30" t="s">
        <v>114</v>
      </c>
    </row>
    <row r="31" spans="2:16" ht="12.75" customHeight="1" x14ac:dyDescent="0.15">
      <c r="C31" t="s">
        <v>115</v>
      </c>
      <c r="D31" s="155">
        <f>IF(D11=1,EOMONTH(D13,D12),DATE(2027,1,1))</f>
        <v>46388</v>
      </c>
      <c r="E31" s="72"/>
      <c r="F31" s="72"/>
      <c r="G31" s="72"/>
      <c r="J31" t="s">
        <v>116</v>
      </c>
      <c r="K31" s="72"/>
      <c r="L31" s="72"/>
      <c r="M31" s="188">
        <v>0</v>
      </c>
      <c r="N31" t="s">
        <v>117</v>
      </c>
    </row>
    <row r="32" spans="2:16" x14ac:dyDescent="0.15">
      <c r="C32" t="s">
        <v>118</v>
      </c>
      <c r="D32" s="156">
        <f>M21</f>
        <v>12000</v>
      </c>
      <c r="E32" s="72"/>
      <c r="F32" s="72"/>
      <c r="G32" s="72"/>
      <c r="J32" t="s">
        <v>119</v>
      </c>
      <c r="K32" s="72"/>
      <c r="L32" s="72"/>
      <c r="M32" s="188">
        <v>0</v>
      </c>
      <c r="N32" t="s">
        <v>120</v>
      </c>
    </row>
    <row r="33" spans="2:44" ht="12.75" customHeight="1" x14ac:dyDescent="0.15">
      <c r="C33" t="s">
        <v>121</v>
      </c>
      <c r="D33" s="160">
        <f>M22</f>
        <v>1.5</v>
      </c>
      <c r="E33" s="72"/>
      <c r="F33" s="72"/>
      <c r="G33" s="72"/>
      <c r="J33" t="s">
        <v>122</v>
      </c>
      <c r="K33" s="72"/>
      <c r="L33" s="72"/>
      <c r="M33" s="188">
        <v>0.45</v>
      </c>
      <c r="N33" t="s">
        <v>123</v>
      </c>
    </row>
    <row r="34" spans="2:44" x14ac:dyDescent="0.15">
      <c r="C34" t="s">
        <v>31</v>
      </c>
      <c r="D34" s="161">
        <f>M23</f>
        <v>6000000</v>
      </c>
      <c r="E34" s="72"/>
      <c r="F34" s="152"/>
      <c r="G34" s="162"/>
    </row>
    <row r="35" spans="2:44" ht="12.75" customHeight="1" x14ac:dyDescent="0.15">
      <c r="C35" s="2" t="s">
        <v>104</v>
      </c>
      <c r="D35" s="157">
        <f>M24</f>
        <v>6</v>
      </c>
      <c r="E35" s="72"/>
      <c r="F35" s="72"/>
      <c r="G35" s="72"/>
    </row>
    <row r="36" spans="2:44" ht="12.75" customHeight="1" x14ac:dyDescent="0.15">
      <c r="B36" t="s">
        <v>124</v>
      </c>
      <c r="D36" s="152"/>
      <c r="E36" s="72"/>
      <c r="F36" s="72"/>
      <c r="G36" s="72"/>
    </row>
    <row r="37" spans="2:44" ht="12.75" customHeight="1" x14ac:dyDescent="0.15">
      <c r="C37" t="s">
        <v>125</v>
      </c>
      <c r="D37" s="150">
        <f>M25</f>
        <v>0.25</v>
      </c>
      <c r="E37" s="72"/>
      <c r="F37" s="72"/>
      <c r="G37" s="72"/>
    </row>
    <row r="38" spans="2:44" ht="12.75" customHeight="1" x14ac:dyDescent="0.15">
      <c r="C38" t="s">
        <v>126</v>
      </c>
      <c r="D38" s="152">
        <v>30</v>
      </c>
      <c r="E38" s="72"/>
      <c r="F38" s="72"/>
      <c r="G38" s="72"/>
    </row>
    <row r="39" spans="2:44" ht="12.75" customHeight="1" x14ac:dyDescent="0.15">
      <c r="B39" t="s">
        <v>127</v>
      </c>
      <c r="D39" s="2"/>
    </row>
    <row r="40" spans="2:44" ht="12.75" customHeight="1" x14ac:dyDescent="0.15">
      <c r="C40" t="s">
        <v>96</v>
      </c>
      <c r="D40" s="2"/>
    </row>
    <row r="41" spans="2:44" x14ac:dyDescent="0.15">
      <c r="C41" t="s">
        <v>128</v>
      </c>
      <c r="D41" s="80">
        <v>0.20196</v>
      </c>
    </row>
    <row r="42" spans="2:44" ht="12.75" customHeight="1" x14ac:dyDescent="0.15">
      <c r="K42">
        <v>2027</v>
      </c>
      <c r="L42">
        <f t="shared" ref="L42:AR42" si="1">K42+1</f>
        <v>2028</v>
      </c>
      <c r="M42">
        <f t="shared" si="1"/>
        <v>2029</v>
      </c>
      <c r="N42">
        <f t="shared" si="1"/>
        <v>2030</v>
      </c>
      <c r="O42">
        <f t="shared" si="1"/>
        <v>2031</v>
      </c>
      <c r="P42">
        <f t="shared" si="1"/>
        <v>2032</v>
      </c>
      <c r="Q42">
        <f t="shared" si="1"/>
        <v>2033</v>
      </c>
      <c r="R42">
        <f t="shared" si="1"/>
        <v>2034</v>
      </c>
      <c r="S42">
        <f t="shared" si="1"/>
        <v>2035</v>
      </c>
      <c r="T42">
        <f t="shared" si="1"/>
        <v>2036</v>
      </c>
      <c r="U42">
        <f t="shared" si="1"/>
        <v>2037</v>
      </c>
      <c r="V42">
        <f t="shared" si="1"/>
        <v>2038</v>
      </c>
      <c r="W42">
        <f t="shared" si="1"/>
        <v>2039</v>
      </c>
      <c r="X42">
        <f t="shared" si="1"/>
        <v>2040</v>
      </c>
      <c r="Y42">
        <f t="shared" si="1"/>
        <v>2041</v>
      </c>
      <c r="Z42">
        <f t="shared" si="1"/>
        <v>2042</v>
      </c>
      <c r="AA42">
        <f t="shared" si="1"/>
        <v>2043</v>
      </c>
      <c r="AB42">
        <f t="shared" si="1"/>
        <v>2044</v>
      </c>
      <c r="AC42">
        <f t="shared" si="1"/>
        <v>2045</v>
      </c>
      <c r="AD42">
        <f t="shared" si="1"/>
        <v>2046</v>
      </c>
      <c r="AE42">
        <f t="shared" si="1"/>
        <v>2047</v>
      </c>
      <c r="AF42">
        <f t="shared" si="1"/>
        <v>2048</v>
      </c>
      <c r="AG42">
        <f t="shared" si="1"/>
        <v>2049</v>
      </c>
      <c r="AH42">
        <f t="shared" si="1"/>
        <v>2050</v>
      </c>
      <c r="AI42">
        <f t="shared" si="1"/>
        <v>2051</v>
      </c>
      <c r="AJ42">
        <f t="shared" si="1"/>
        <v>2052</v>
      </c>
      <c r="AK42">
        <f t="shared" si="1"/>
        <v>2053</v>
      </c>
      <c r="AL42">
        <f t="shared" si="1"/>
        <v>2054</v>
      </c>
      <c r="AM42">
        <f t="shared" si="1"/>
        <v>2055</v>
      </c>
      <c r="AN42">
        <f t="shared" si="1"/>
        <v>2056</v>
      </c>
      <c r="AO42">
        <f t="shared" si="1"/>
        <v>2057</v>
      </c>
      <c r="AP42">
        <f t="shared" si="1"/>
        <v>2058</v>
      </c>
      <c r="AQ42">
        <f t="shared" si="1"/>
        <v>2059</v>
      </c>
      <c r="AR42">
        <f t="shared" si="1"/>
        <v>2060</v>
      </c>
    </row>
    <row r="43" spans="2:44" ht="12.75" customHeight="1" x14ac:dyDescent="0.15">
      <c r="J43" t="s">
        <v>96</v>
      </c>
      <c r="K43" s="164">
        <v>0.03</v>
      </c>
      <c r="L43" s="165">
        <v>2.9000000000000001E-2</v>
      </c>
      <c r="M43" s="165">
        <v>2.7E-2</v>
      </c>
      <c r="N43" s="165">
        <v>2.7199999999999998E-2</v>
      </c>
      <c r="O43" s="165">
        <f t="shared" ref="O43:AR43" si="2">N43+0.02%</f>
        <v>2.7399999999999997E-2</v>
      </c>
      <c r="P43" s="165">
        <f t="shared" si="2"/>
        <v>2.7599999999999996E-2</v>
      </c>
      <c r="Q43" s="165">
        <f t="shared" si="2"/>
        <v>2.7799999999999995E-2</v>
      </c>
      <c r="R43" s="165">
        <f t="shared" si="2"/>
        <v>2.7999999999999994E-2</v>
      </c>
      <c r="S43" s="165">
        <f t="shared" si="2"/>
        <v>2.8199999999999992E-2</v>
      </c>
      <c r="T43" s="165">
        <f t="shared" si="2"/>
        <v>2.8399999999999991E-2</v>
      </c>
      <c r="U43" s="165">
        <f t="shared" si="2"/>
        <v>2.859999999999999E-2</v>
      </c>
      <c r="V43" s="165">
        <f t="shared" si="2"/>
        <v>2.8799999999999989E-2</v>
      </c>
      <c r="W43" s="165">
        <f t="shared" si="2"/>
        <v>2.8999999999999988E-2</v>
      </c>
      <c r="X43" s="165">
        <f t="shared" si="2"/>
        <v>2.9199999999999986E-2</v>
      </c>
      <c r="Y43" s="165">
        <f t="shared" si="2"/>
        <v>2.9399999999999985E-2</v>
      </c>
      <c r="Z43" s="165">
        <f t="shared" si="2"/>
        <v>2.9599999999999984E-2</v>
      </c>
      <c r="AA43" s="165">
        <f t="shared" si="2"/>
        <v>2.9799999999999983E-2</v>
      </c>
      <c r="AB43" s="165">
        <f t="shared" si="2"/>
        <v>2.9999999999999982E-2</v>
      </c>
      <c r="AC43" s="165">
        <f t="shared" si="2"/>
        <v>3.019999999999998E-2</v>
      </c>
      <c r="AD43" s="165">
        <f t="shared" si="2"/>
        <v>3.0399999999999979E-2</v>
      </c>
      <c r="AE43" s="165">
        <f t="shared" si="2"/>
        <v>3.0599999999999978E-2</v>
      </c>
      <c r="AF43" s="165">
        <f t="shared" si="2"/>
        <v>3.0799999999999977E-2</v>
      </c>
      <c r="AG43" s="165">
        <f t="shared" si="2"/>
        <v>3.0999999999999975E-2</v>
      </c>
      <c r="AH43" s="165">
        <f t="shared" si="2"/>
        <v>3.1199999999999974E-2</v>
      </c>
      <c r="AI43" s="165">
        <f t="shared" si="2"/>
        <v>3.1399999999999977E-2</v>
      </c>
      <c r="AJ43" s="165">
        <f t="shared" si="2"/>
        <v>3.1599999999999975E-2</v>
      </c>
      <c r="AK43" s="165">
        <f t="shared" si="2"/>
        <v>3.1799999999999974E-2</v>
      </c>
      <c r="AL43" s="165">
        <f t="shared" si="2"/>
        <v>3.1999999999999973E-2</v>
      </c>
      <c r="AM43" s="165">
        <f t="shared" si="2"/>
        <v>3.2199999999999972E-2</v>
      </c>
      <c r="AN43" s="165">
        <f t="shared" si="2"/>
        <v>3.239999999999997E-2</v>
      </c>
      <c r="AO43" s="165">
        <f t="shared" si="2"/>
        <v>3.2599999999999969E-2</v>
      </c>
      <c r="AP43" s="165">
        <f t="shared" si="2"/>
        <v>3.2799999999999968E-2</v>
      </c>
      <c r="AQ43" s="165">
        <f t="shared" si="2"/>
        <v>3.2999999999999967E-2</v>
      </c>
      <c r="AR43" s="165">
        <f t="shared" si="2"/>
        <v>3.3199999999999966E-2</v>
      </c>
    </row>
    <row r="44" spans="2:44" ht="12.75" customHeight="1" x14ac:dyDescent="0.15"/>
  </sheetData>
  <dataValidations disablePrompts="1" count="1">
    <dataValidation type="list" sqref="M4" xr:uid="{00000000-0002-0000-0200-000000000000}">
      <formula1>"Base case,Scenario 2,Scenario 3"</formula1>
      <formula2>0</formula2>
    </dataValidation>
  </dataValidations>
  <pageMargins left="0.70833333333333304" right="0.70833333333333304" top="0.78749999999999998" bottom="0.78749999999999998" header="0.511811023622047" footer="0.511811023622047"/>
  <pageSetup paperSize="9" fitToHeight="0" orientation="landscape"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B2:I85"/>
  <sheetViews>
    <sheetView showGridLines="0" zoomScaleNormal="100" workbookViewId="0">
      <pane xSplit="2" ySplit="6" topLeftCell="C7" activePane="bottomRight" state="frozen"/>
      <selection activeCell="M14" sqref="M14"/>
      <selection pane="topRight" activeCell="M14" sqref="M14"/>
      <selection pane="bottomLeft" activeCell="M14" sqref="M14"/>
      <selection pane="bottomRight" activeCell="D29" sqref="D29"/>
    </sheetView>
  </sheetViews>
  <sheetFormatPr baseColWidth="10" defaultColWidth="8.6640625" defaultRowHeight="13" x14ac:dyDescent="0.15"/>
  <cols>
    <col min="1" max="1" width="8.6640625" customWidth="1"/>
    <col min="2" max="2" width="26" customWidth="1"/>
    <col min="3" max="6" width="16" customWidth="1"/>
    <col min="7" max="7" width="16" bestFit="1" customWidth="1"/>
    <col min="8" max="8" width="10.6640625" bestFit="1" customWidth="1"/>
  </cols>
  <sheetData>
    <row r="2" spans="2:9" ht="18" customHeight="1" x14ac:dyDescent="0.2">
      <c r="B2" s="166" t="s">
        <v>129</v>
      </c>
    </row>
    <row r="4" spans="2:9" ht="13.5" customHeight="1" x14ac:dyDescent="0.15">
      <c r="B4" s="167" t="s">
        <v>130</v>
      </c>
    </row>
    <row r="6" spans="2:9" ht="12.75" customHeight="1" x14ac:dyDescent="0.15">
      <c r="B6" s="168" t="s">
        <v>98</v>
      </c>
    </row>
    <row r="7" spans="2:9" x14ac:dyDescent="0.15">
      <c r="B7" s="169" t="s">
        <v>131</v>
      </c>
      <c r="C7" s="170" t="s">
        <v>132</v>
      </c>
      <c r="D7" s="170" t="s">
        <v>133</v>
      </c>
      <c r="E7" s="170" t="s">
        <v>134</v>
      </c>
      <c r="F7" s="170" t="s">
        <v>135</v>
      </c>
      <c r="G7" s="170" t="s">
        <v>136</v>
      </c>
    </row>
    <row r="8" spans="2:9" x14ac:dyDescent="0.15">
      <c r="B8" s="171" t="s">
        <v>137</v>
      </c>
      <c r="C8" s="177">
        <v>61892133.773016207</v>
      </c>
      <c r="D8" s="177">
        <v>50392133.773016207</v>
      </c>
      <c r="E8" s="172">
        <v>38892133.773016207</v>
      </c>
      <c r="F8" s="177">
        <v>21642133.773016211</v>
      </c>
      <c r="G8" s="177">
        <v>4392133.7730162246</v>
      </c>
      <c r="H8" s="61"/>
      <c r="I8" s="61"/>
    </row>
    <row r="9" spans="2:9" ht="17.25" customHeight="1" x14ac:dyDescent="0.2">
      <c r="B9" s="178"/>
      <c r="C9" s="61"/>
      <c r="D9" s="61"/>
      <c r="E9" s="61"/>
      <c r="F9" s="61"/>
      <c r="G9" s="61"/>
      <c r="H9" s="61"/>
      <c r="I9" s="61"/>
    </row>
    <row r="10" spans="2:9" ht="39.75" customHeight="1" x14ac:dyDescent="0.15">
      <c r="B10" s="179" t="s">
        <v>138</v>
      </c>
      <c r="C10" s="61"/>
      <c r="D10" s="61"/>
      <c r="E10" s="61"/>
      <c r="F10" s="61"/>
      <c r="G10" s="61"/>
      <c r="H10" s="61"/>
      <c r="I10" s="61"/>
    </row>
    <row r="11" spans="2:9" x14ac:dyDescent="0.15">
      <c r="B11" s="169" t="s">
        <v>138</v>
      </c>
      <c r="C11" s="170" t="s">
        <v>139</v>
      </c>
      <c r="D11" s="170" t="s">
        <v>140</v>
      </c>
      <c r="E11" s="170" t="s">
        <v>141</v>
      </c>
      <c r="F11" s="170" t="s">
        <v>142</v>
      </c>
      <c r="G11" s="170" t="s">
        <v>143</v>
      </c>
      <c r="H11" s="61"/>
      <c r="I11" s="61"/>
    </row>
    <row r="12" spans="2:9" ht="13.75" customHeight="1" x14ac:dyDescent="0.15">
      <c r="B12" s="171" t="s">
        <v>137</v>
      </c>
      <c r="C12" s="173">
        <v>-118003424.005302</v>
      </c>
      <c r="D12" s="173">
        <v>-38101523.982971363</v>
      </c>
      <c r="E12" s="172">
        <v>38892133.773016207</v>
      </c>
      <c r="F12" s="173">
        <v>71448617.739008486</v>
      </c>
      <c r="G12" s="177">
        <v>103612214.24085189</v>
      </c>
      <c r="H12" s="61"/>
      <c r="I12" s="61"/>
    </row>
    <row r="13" spans="2:9" ht="12.75" customHeight="1" x14ac:dyDescent="0.15">
      <c r="B13" s="163"/>
      <c r="C13" s="163"/>
      <c r="D13" s="163"/>
      <c r="E13" s="163"/>
      <c r="F13" s="61"/>
      <c r="G13" s="61"/>
      <c r="H13" s="61"/>
      <c r="I13" s="61"/>
    </row>
    <row r="14" spans="2:9" ht="12.75" customHeight="1" x14ac:dyDescent="0.15">
      <c r="B14" s="168" t="s">
        <v>71</v>
      </c>
      <c r="C14" s="63"/>
      <c r="D14" s="180"/>
      <c r="E14" s="181"/>
      <c r="F14" s="61"/>
      <c r="G14" s="61"/>
      <c r="H14" s="61"/>
      <c r="I14" s="61"/>
    </row>
    <row r="15" spans="2:9" ht="12.75" customHeight="1" x14ac:dyDescent="0.15">
      <c r="B15" s="169" t="s">
        <v>144</v>
      </c>
      <c r="C15" s="174" t="s">
        <v>145</v>
      </c>
      <c r="D15" s="175" t="s">
        <v>146</v>
      </c>
      <c r="E15" s="176" t="s">
        <v>147</v>
      </c>
      <c r="F15" s="170" t="s">
        <v>148</v>
      </c>
      <c r="G15" s="170" t="s">
        <v>149</v>
      </c>
      <c r="H15" s="61"/>
      <c r="I15" s="61"/>
    </row>
    <row r="16" spans="2:9" ht="12.75" customHeight="1" x14ac:dyDescent="0.15">
      <c r="B16" s="171" t="s">
        <v>137</v>
      </c>
      <c r="C16" s="177">
        <v>61196894.069347799</v>
      </c>
      <c r="D16" s="177">
        <v>46365304.902212821</v>
      </c>
      <c r="E16" s="172">
        <v>38892133.773016207</v>
      </c>
      <c r="F16" s="177">
        <v>13019485.307378531</v>
      </c>
      <c r="G16" s="177">
        <v>-26565629.81564213</v>
      </c>
      <c r="H16" s="61"/>
      <c r="I16" s="61"/>
    </row>
    <row r="17" spans="2:9" ht="12.75" customHeight="1" x14ac:dyDescent="0.15">
      <c r="B17" s="61"/>
      <c r="C17" s="63"/>
      <c r="D17" s="180"/>
      <c r="E17" s="181"/>
      <c r="F17" s="61"/>
      <c r="G17" s="61"/>
      <c r="H17" s="61"/>
      <c r="I17" s="61"/>
    </row>
    <row r="18" spans="2:9" ht="12.75" customHeight="1" x14ac:dyDescent="0.15">
      <c r="B18" s="168" t="s">
        <v>150</v>
      </c>
      <c r="C18" s="63"/>
      <c r="D18" s="180"/>
      <c r="E18" s="181"/>
      <c r="F18" s="61"/>
      <c r="G18" s="61"/>
      <c r="H18" s="61"/>
      <c r="I18" s="61"/>
    </row>
    <row r="19" spans="2:9" x14ac:dyDescent="0.15">
      <c r="B19" s="169" t="s">
        <v>150</v>
      </c>
      <c r="C19" s="170" t="s">
        <v>151</v>
      </c>
      <c r="D19" s="170" t="s">
        <v>152</v>
      </c>
      <c r="E19" s="170" t="s">
        <v>153</v>
      </c>
      <c r="F19" s="170" t="s">
        <v>154</v>
      </c>
      <c r="G19" s="170" t="s">
        <v>155</v>
      </c>
      <c r="H19" s="61"/>
      <c r="I19" s="61"/>
    </row>
    <row r="20" spans="2:9" ht="13.75" customHeight="1" x14ac:dyDescent="0.15">
      <c r="B20" s="171" t="s">
        <v>137</v>
      </c>
      <c r="C20" s="177">
        <v>28200506.90243306</v>
      </c>
      <c r="D20" s="177">
        <v>27650361.073244069</v>
      </c>
      <c r="E20" s="172">
        <v>38892133.773016207</v>
      </c>
      <c r="F20" s="177">
        <v>51529672.395419732</v>
      </c>
      <c r="G20" s="177">
        <v>64167211.01782342</v>
      </c>
      <c r="H20" s="61"/>
      <c r="I20" s="61"/>
    </row>
    <row r="21" spans="2:9" ht="12.75" customHeight="1" x14ac:dyDescent="0.15">
      <c r="B21" s="163"/>
      <c r="C21" s="163"/>
      <c r="D21" s="163"/>
      <c r="E21" s="163"/>
      <c r="F21" s="61"/>
      <c r="G21" s="61"/>
      <c r="H21" s="61"/>
      <c r="I21" s="61"/>
    </row>
    <row r="22" spans="2:9" ht="12.75" customHeight="1" x14ac:dyDescent="0.15">
      <c r="B22" s="168" t="s">
        <v>156</v>
      </c>
      <c r="C22" s="63"/>
      <c r="D22" s="180"/>
      <c r="E22" s="181"/>
      <c r="F22" s="61"/>
      <c r="G22" s="61"/>
      <c r="H22" s="61"/>
      <c r="I22" s="61"/>
    </row>
    <row r="23" spans="2:9" ht="12.75" customHeight="1" x14ac:dyDescent="0.15">
      <c r="B23" s="169" t="s">
        <v>157</v>
      </c>
      <c r="C23" s="174" t="s">
        <v>158</v>
      </c>
      <c r="D23" s="175" t="s">
        <v>159</v>
      </c>
      <c r="E23" s="176" t="s">
        <v>160</v>
      </c>
      <c r="F23" s="170" t="s">
        <v>161</v>
      </c>
      <c r="G23" s="170" t="s">
        <v>162</v>
      </c>
      <c r="H23" s="61"/>
      <c r="I23" s="61"/>
    </row>
    <row r="24" spans="2:9" ht="12.75" customHeight="1" x14ac:dyDescent="0.15">
      <c r="B24" s="171" t="s">
        <v>137</v>
      </c>
      <c r="C24" s="177">
        <v>-19781804.360041939</v>
      </c>
      <c r="D24" s="177">
        <v>9555164.7064871993</v>
      </c>
      <c r="E24" s="172">
        <v>38892133.773016207</v>
      </c>
      <c r="F24" s="177">
        <v>68229102.83954525</v>
      </c>
      <c r="G24" s="177">
        <v>97566071.906074405</v>
      </c>
      <c r="H24" s="61"/>
      <c r="I24" s="61"/>
    </row>
    <row r="25" spans="2:9" ht="12.75" customHeight="1" x14ac:dyDescent="0.15">
      <c r="B25" s="61"/>
      <c r="C25" s="63"/>
      <c r="D25" s="180"/>
      <c r="E25" s="181"/>
      <c r="F25" s="61"/>
      <c r="G25" s="61"/>
      <c r="H25" s="61"/>
      <c r="I25" s="61"/>
    </row>
    <row r="26" spans="2:9" ht="12.75" customHeight="1" x14ac:dyDescent="0.15">
      <c r="B26" s="168" t="s">
        <v>163</v>
      </c>
      <c r="C26" s="63"/>
      <c r="D26" s="180"/>
      <c r="E26" s="181"/>
      <c r="F26" s="61"/>
      <c r="G26" s="61"/>
      <c r="H26" s="61"/>
      <c r="I26" s="61"/>
    </row>
    <row r="27" spans="2:9" x14ac:dyDescent="0.15">
      <c r="B27" s="182" t="s">
        <v>164</v>
      </c>
      <c r="C27" s="61"/>
      <c r="D27" s="61"/>
      <c r="E27" s="61"/>
      <c r="F27" s="61"/>
      <c r="G27" s="61"/>
      <c r="H27" s="61"/>
      <c r="I27" s="61"/>
    </row>
    <row r="28" spans="2:9" ht="13.75" customHeight="1" x14ac:dyDescent="0.15">
      <c r="B28" s="169" t="s">
        <v>165</v>
      </c>
      <c r="C28" s="170" t="s">
        <v>166</v>
      </c>
      <c r="D28" s="170" t="s">
        <v>167</v>
      </c>
      <c r="E28" s="170" t="s">
        <v>168</v>
      </c>
      <c r="F28" s="170" t="s">
        <v>169</v>
      </c>
      <c r="G28" s="170" t="s">
        <v>170</v>
      </c>
      <c r="H28" s="61"/>
      <c r="I28" s="61"/>
    </row>
    <row r="29" spans="2:9" ht="12.75" customHeight="1" x14ac:dyDescent="0.15">
      <c r="B29" s="171" t="s">
        <v>137</v>
      </c>
      <c r="C29" s="183">
        <v>-550291596.53966105</v>
      </c>
      <c r="D29" s="183">
        <v>-553318018.21197081</v>
      </c>
      <c r="E29" s="172">
        <v>-556344439.88428116</v>
      </c>
      <c r="F29" s="177">
        <v>-559370861.55659091</v>
      </c>
      <c r="G29" s="177">
        <v>-562397283.22890115</v>
      </c>
      <c r="H29" s="61"/>
      <c r="I29" s="61"/>
    </row>
    <row r="30" spans="2:9" ht="12.75" customHeight="1" x14ac:dyDescent="0.15">
      <c r="B30" s="61"/>
      <c r="C30" s="63"/>
      <c r="D30" s="180"/>
      <c r="E30" s="181"/>
      <c r="F30" s="61"/>
      <c r="G30" s="61"/>
      <c r="H30" s="61"/>
      <c r="I30" s="61"/>
    </row>
    <row r="31" spans="2:9" ht="12.75" customHeight="1" x14ac:dyDescent="0.15">
      <c r="B31" s="61"/>
      <c r="C31" s="63"/>
      <c r="D31" s="180"/>
      <c r="E31" s="181"/>
      <c r="F31" s="61"/>
      <c r="G31" s="61"/>
      <c r="H31" s="61"/>
      <c r="I31" s="61"/>
    </row>
    <row r="32" spans="2:9" ht="12.75" customHeight="1" x14ac:dyDescent="0.15">
      <c r="B32" s="61"/>
      <c r="C32" s="63"/>
      <c r="D32" s="180"/>
      <c r="E32" s="181"/>
      <c r="F32" s="61"/>
      <c r="G32" s="61"/>
      <c r="H32" s="61"/>
      <c r="I32" s="61"/>
    </row>
    <row r="33" spans="2:9" ht="27.75" customHeight="1" x14ac:dyDescent="0.15">
      <c r="B33" s="184"/>
      <c r="C33" s="61"/>
      <c r="D33" s="61"/>
      <c r="E33" s="61"/>
      <c r="F33" s="61"/>
      <c r="G33" s="61"/>
      <c r="H33" s="61"/>
      <c r="I33" s="61"/>
    </row>
    <row r="34" spans="2:9" x14ac:dyDescent="0.15">
      <c r="B34" s="61"/>
      <c r="C34" s="61"/>
      <c r="D34" s="61"/>
      <c r="E34" s="61"/>
      <c r="F34" s="61"/>
      <c r="G34" s="61"/>
      <c r="H34" s="61"/>
      <c r="I34" s="61"/>
    </row>
    <row r="35" spans="2:9" ht="13.75" customHeight="1" x14ac:dyDescent="0.15">
      <c r="B35" s="185"/>
      <c r="C35" s="61"/>
      <c r="D35" s="61"/>
      <c r="E35" s="61"/>
      <c r="F35" s="61"/>
      <c r="G35" s="61"/>
      <c r="H35" s="61"/>
      <c r="I35" s="61"/>
    </row>
    <row r="36" spans="2:9" ht="12.75" customHeight="1" x14ac:dyDescent="0.15">
      <c r="B36" s="163"/>
      <c r="C36" s="163"/>
      <c r="D36" s="163"/>
      <c r="E36" s="163"/>
      <c r="F36" s="61"/>
      <c r="G36" s="61"/>
      <c r="H36" s="61"/>
      <c r="I36" s="61"/>
    </row>
    <row r="37" spans="2:9" ht="12.75" customHeight="1" x14ac:dyDescent="0.15">
      <c r="B37" s="61"/>
      <c r="C37" s="63"/>
      <c r="D37" s="180"/>
      <c r="E37" s="181"/>
      <c r="F37" s="61"/>
      <c r="G37" s="61"/>
      <c r="H37" s="61"/>
      <c r="I37" s="61"/>
    </row>
    <row r="38" spans="2:9" ht="12.75" customHeight="1" x14ac:dyDescent="0.15">
      <c r="B38" s="61"/>
      <c r="C38" s="63"/>
      <c r="D38" s="180"/>
      <c r="E38" s="181"/>
      <c r="F38" s="61"/>
      <c r="G38" s="61"/>
      <c r="H38" s="61"/>
      <c r="I38" s="61"/>
    </row>
    <row r="39" spans="2:9" ht="12.75" customHeight="1" x14ac:dyDescent="0.15">
      <c r="B39" s="61"/>
      <c r="C39" s="63"/>
      <c r="D39" s="180"/>
      <c r="E39" s="181"/>
      <c r="F39" s="61"/>
      <c r="G39" s="61"/>
      <c r="H39" s="61"/>
      <c r="I39" s="61"/>
    </row>
    <row r="40" spans="2:9" x14ac:dyDescent="0.15">
      <c r="B40" s="61"/>
      <c r="C40" s="61"/>
      <c r="D40" s="61"/>
      <c r="E40" s="61"/>
      <c r="F40" s="61"/>
      <c r="G40" s="61"/>
      <c r="H40" s="61"/>
      <c r="I40" s="61"/>
    </row>
    <row r="41" spans="2:9" ht="13.75" customHeight="1" x14ac:dyDescent="0.15">
      <c r="B41" s="185"/>
      <c r="C41" s="61"/>
      <c r="D41" s="61"/>
      <c r="E41" s="61"/>
      <c r="F41" s="61"/>
      <c r="G41" s="61"/>
      <c r="H41" s="61"/>
      <c r="I41" s="61"/>
    </row>
    <row r="42" spans="2:9" ht="12.75" customHeight="1" x14ac:dyDescent="0.15">
      <c r="B42" s="163"/>
      <c r="C42" s="163"/>
      <c r="D42" s="163"/>
      <c r="E42" s="163"/>
      <c r="F42" s="61"/>
      <c r="G42" s="61"/>
      <c r="H42" s="61"/>
      <c r="I42" s="61"/>
    </row>
    <row r="43" spans="2:9" ht="12.75" customHeight="1" x14ac:dyDescent="0.15">
      <c r="B43" s="61"/>
      <c r="C43" s="63"/>
      <c r="D43" s="180"/>
      <c r="E43" s="181"/>
      <c r="F43" s="61"/>
      <c r="G43" s="61"/>
      <c r="H43" s="61"/>
      <c r="I43" s="61"/>
    </row>
    <row r="44" spans="2:9" ht="12.75" customHeight="1" x14ac:dyDescent="0.15">
      <c r="B44" s="61"/>
      <c r="C44" s="63"/>
      <c r="D44" s="180"/>
      <c r="E44" s="181"/>
      <c r="F44" s="61"/>
      <c r="G44" s="61"/>
      <c r="H44" s="61"/>
      <c r="I44" s="61"/>
    </row>
    <row r="45" spans="2:9" ht="12.75" customHeight="1" x14ac:dyDescent="0.15">
      <c r="B45" s="61"/>
      <c r="C45" s="63"/>
      <c r="D45" s="180"/>
      <c r="E45" s="181"/>
      <c r="F45" s="61"/>
      <c r="G45" s="61"/>
      <c r="H45" s="61"/>
      <c r="I45" s="61"/>
    </row>
    <row r="46" spans="2:9" x14ac:dyDescent="0.15">
      <c r="B46" s="61"/>
      <c r="C46" s="61"/>
      <c r="D46" s="61"/>
      <c r="E46" s="61"/>
      <c r="F46" s="61"/>
      <c r="G46" s="61"/>
      <c r="H46" s="61"/>
      <c r="I46" s="61"/>
    </row>
    <row r="47" spans="2:9" ht="13.75" customHeight="1" x14ac:dyDescent="0.15">
      <c r="B47" s="185"/>
      <c r="C47" s="61"/>
      <c r="D47" s="61"/>
      <c r="E47" s="61"/>
      <c r="F47" s="61"/>
      <c r="G47" s="61"/>
      <c r="H47" s="61"/>
      <c r="I47" s="61"/>
    </row>
    <row r="48" spans="2:9" ht="12.75" customHeight="1" x14ac:dyDescent="0.15">
      <c r="B48" s="163"/>
      <c r="C48" s="163"/>
      <c r="D48" s="163"/>
      <c r="E48" s="163"/>
      <c r="F48" s="61"/>
      <c r="G48" s="61"/>
      <c r="H48" s="61"/>
      <c r="I48" s="61"/>
    </row>
    <row r="49" spans="2:9" ht="12.75" customHeight="1" x14ac:dyDescent="0.15">
      <c r="B49" s="61"/>
      <c r="C49" s="63"/>
      <c r="D49" s="180"/>
      <c r="E49" s="181"/>
      <c r="F49" s="61"/>
      <c r="G49" s="61"/>
      <c r="H49" s="61"/>
      <c r="I49" s="61"/>
    </row>
    <row r="50" spans="2:9" ht="12.75" customHeight="1" x14ac:dyDescent="0.15">
      <c r="B50" s="61"/>
      <c r="C50" s="63"/>
      <c r="D50" s="180"/>
      <c r="E50" s="181"/>
      <c r="F50" s="61"/>
      <c r="G50" s="61"/>
      <c r="H50" s="61"/>
      <c r="I50" s="61"/>
    </row>
    <row r="51" spans="2:9" ht="12.75" customHeight="1" x14ac:dyDescent="0.15">
      <c r="B51" s="61"/>
      <c r="C51" s="63"/>
      <c r="D51" s="180"/>
      <c r="E51" s="181"/>
      <c r="F51" s="61"/>
      <c r="G51" s="61"/>
      <c r="H51" s="61"/>
      <c r="I51" s="61"/>
    </row>
    <row r="52" spans="2:9" ht="27.75" customHeight="1" x14ac:dyDescent="0.15">
      <c r="B52" s="184"/>
      <c r="C52" s="61"/>
      <c r="D52" s="61"/>
      <c r="E52" s="61"/>
      <c r="F52" s="61"/>
      <c r="G52" s="61"/>
      <c r="H52" s="61"/>
      <c r="I52" s="61"/>
    </row>
    <row r="53" spans="2:9" x14ac:dyDescent="0.15">
      <c r="B53" s="61"/>
      <c r="C53" s="61"/>
      <c r="D53" s="61"/>
      <c r="E53" s="61"/>
      <c r="F53" s="61"/>
      <c r="G53" s="61"/>
      <c r="H53" s="61"/>
      <c r="I53" s="61"/>
    </row>
    <row r="54" spans="2:9" ht="13.75" customHeight="1" x14ac:dyDescent="0.15">
      <c r="B54" s="185"/>
      <c r="C54" s="61"/>
      <c r="D54" s="61"/>
      <c r="E54" s="61"/>
      <c r="F54" s="61"/>
      <c r="G54" s="61"/>
      <c r="H54" s="61"/>
      <c r="I54" s="61"/>
    </row>
    <row r="55" spans="2:9" ht="12.75" customHeight="1" x14ac:dyDescent="0.15">
      <c r="B55" s="163"/>
      <c r="C55" s="163"/>
      <c r="D55" s="163"/>
      <c r="E55" s="163"/>
      <c r="F55" s="61"/>
      <c r="G55" s="61"/>
      <c r="H55" s="61"/>
      <c r="I55" s="61"/>
    </row>
    <row r="56" spans="2:9" ht="12.75" customHeight="1" x14ac:dyDescent="0.15">
      <c r="B56" s="61"/>
      <c r="C56" s="63"/>
      <c r="D56" s="180"/>
      <c r="E56" s="181"/>
      <c r="F56" s="61"/>
      <c r="G56" s="61"/>
      <c r="H56" s="61"/>
      <c r="I56" s="61"/>
    </row>
    <row r="57" spans="2:9" ht="12.75" customHeight="1" x14ac:dyDescent="0.15">
      <c r="B57" s="61"/>
      <c r="C57" s="63"/>
      <c r="D57" s="180"/>
      <c r="E57" s="181"/>
      <c r="F57" s="61"/>
      <c r="G57" s="61"/>
      <c r="H57" s="61"/>
      <c r="I57" s="61"/>
    </row>
    <row r="58" spans="2:9" ht="12.75" customHeight="1" x14ac:dyDescent="0.15">
      <c r="B58" s="61"/>
      <c r="C58" s="63"/>
      <c r="D58" s="180"/>
      <c r="E58" s="181"/>
      <c r="F58" s="61"/>
      <c r="G58" s="61"/>
      <c r="H58" s="61"/>
      <c r="I58" s="61"/>
    </row>
    <row r="59" spans="2:9" x14ac:dyDescent="0.15">
      <c r="B59" s="61"/>
      <c r="C59" s="61"/>
      <c r="D59" s="61"/>
      <c r="E59" s="61"/>
      <c r="F59" s="61"/>
      <c r="G59" s="61"/>
      <c r="H59" s="61"/>
      <c r="I59" s="61"/>
    </row>
    <row r="60" spans="2:9" ht="13.75" customHeight="1" x14ac:dyDescent="0.15">
      <c r="B60" s="185"/>
      <c r="C60" s="61"/>
      <c r="D60" s="61"/>
      <c r="E60" s="61"/>
      <c r="F60" s="61"/>
      <c r="G60" s="61"/>
      <c r="H60" s="61"/>
      <c r="I60" s="61"/>
    </row>
    <row r="61" spans="2:9" ht="12.75" customHeight="1" x14ac:dyDescent="0.15">
      <c r="B61" s="163"/>
      <c r="C61" s="163"/>
      <c r="D61" s="163"/>
      <c r="E61" s="163"/>
      <c r="F61" s="61"/>
      <c r="G61" s="61"/>
      <c r="H61" s="61"/>
      <c r="I61" s="61"/>
    </row>
    <row r="62" spans="2:9" ht="12.75" customHeight="1" x14ac:dyDescent="0.15">
      <c r="B62" s="61"/>
      <c r="C62" s="63"/>
      <c r="D62" s="180"/>
      <c r="E62" s="181"/>
      <c r="F62" s="61"/>
      <c r="G62" s="61"/>
      <c r="H62" s="61"/>
      <c r="I62" s="61"/>
    </row>
    <row r="63" spans="2:9" ht="12.75" customHeight="1" x14ac:dyDescent="0.15">
      <c r="B63" s="61"/>
      <c r="C63" s="63"/>
      <c r="D63" s="180"/>
      <c r="E63" s="181"/>
      <c r="F63" s="61"/>
      <c r="G63" s="61"/>
      <c r="H63" s="61"/>
      <c r="I63" s="61"/>
    </row>
    <row r="64" spans="2:9" ht="12.75" customHeight="1" x14ac:dyDescent="0.15">
      <c r="B64" s="61"/>
      <c r="C64" s="63"/>
      <c r="D64" s="180"/>
      <c r="E64" s="181"/>
      <c r="F64" s="61"/>
      <c r="G64" s="61"/>
      <c r="H64" s="61"/>
      <c r="I64" s="61"/>
    </row>
    <row r="65" spans="2:9" ht="27.75" customHeight="1" x14ac:dyDescent="0.15">
      <c r="B65" s="62"/>
      <c r="C65" s="61"/>
      <c r="D65" s="61"/>
      <c r="E65" s="61"/>
      <c r="F65" s="61"/>
      <c r="G65" s="61"/>
      <c r="H65" s="61"/>
      <c r="I65" s="61"/>
    </row>
    <row r="66" spans="2:9" ht="14.25" customHeight="1" x14ac:dyDescent="0.15">
      <c r="B66" s="185"/>
      <c r="C66" s="61"/>
      <c r="D66" s="61"/>
      <c r="E66" s="61"/>
      <c r="F66" s="61"/>
      <c r="G66" s="61"/>
      <c r="H66" s="61"/>
      <c r="I66" s="61"/>
    </row>
    <row r="67" spans="2:9" ht="13.75" customHeight="1" x14ac:dyDescent="0.15">
      <c r="B67" s="163"/>
      <c r="C67" s="163"/>
      <c r="D67" s="163"/>
      <c r="E67" s="163"/>
      <c r="F67" s="61"/>
      <c r="G67" s="61"/>
      <c r="H67" s="61"/>
      <c r="I67" s="61"/>
    </row>
    <row r="68" spans="2:9" ht="12.75" customHeight="1" x14ac:dyDescent="0.15">
      <c r="B68" s="61"/>
      <c r="C68" s="63"/>
      <c r="D68" s="180"/>
      <c r="E68" s="181"/>
      <c r="F68" s="61"/>
      <c r="G68" s="61"/>
      <c r="H68" s="61"/>
      <c r="I68" s="61"/>
    </row>
    <row r="69" spans="2:9" ht="12.75" customHeight="1" x14ac:dyDescent="0.15">
      <c r="B69" s="61"/>
      <c r="C69" s="63"/>
      <c r="D69" s="180"/>
      <c r="E69" s="181"/>
      <c r="F69" s="61"/>
      <c r="G69" s="61"/>
      <c r="H69" s="61"/>
      <c r="I69" s="61"/>
    </row>
    <row r="70" spans="2:9" ht="12.75" customHeight="1" x14ac:dyDescent="0.15">
      <c r="B70" s="61"/>
      <c r="C70" s="63"/>
      <c r="D70" s="180"/>
      <c r="E70" s="181"/>
      <c r="F70" s="61"/>
      <c r="G70" s="61"/>
      <c r="H70" s="61"/>
      <c r="I70" s="61"/>
    </row>
    <row r="71" spans="2:9" ht="12.75" customHeight="1" x14ac:dyDescent="0.15">
      <c r="B71" s="61"/>
      <c r="C71" s="63"/>
      <c r="D71" s="180"/>
      <c r="E71" s="181"/>
      <c r="F71" s="61"/>
      <c r="G71" s="61"/>
      <c r="H71" s="61"/>
      <c r="I71" s="61"/>
    </row>
    <row r="72" spans="2:9" ht="12.75" customHeight="1" x14ac:dyDescent="0.15">
      <c r="B72" s="61"/>
      <c r="C72" s="63"/>
      <c r="D72" s="180"/>
      <c r="E72" s="181"/>
      <c r="F72" s="61"/>
      <c r="G72" s="61"/>
      <c r="H72" s="61"/>
      <c r="I72" s="61"/>
    </row>
    <row r="73" spans="2:9" ht="12.75" customHeight="1" x14ac:dyDescent="0.15">
      <c r="B73" s="61"/>
      <c r="C73" s="61"/>
      <c r="D73" s="61"/>
      <c r="E73" s="61"/>
      <c r="F73" s="61"/>
      <c r="G73" s="61"/>
      <c r="H73" s="61"/>
      <c r="I73" s="61"/>
    </row>
    <row r="74" spans="2:9" x14ac:dyDescent="0.15">
      <c r="B74" s="186"/>
      <c r="G74" s="61"/>
      <c r="H74" s="61"/>
      <c r="I74" s="61"/>
    </row>
    <row r="75" spans="2:9" ht="14.25" customHeight="1" x14ac:dyDescent="0.15">
      <c r="B75" s="185"/>
      <c r="C75" s="61"/>
      <c r="D75" s="61"/>
      <c r="E75" s="61"/>
      <c r="F75" s="61"/>
      <c r="G75" s="61"/>
      <c r="H75" s="61"/>
      <c r="I75" s="61"/>
    </row>
    <row r="76" spans="2:9" ht="13.75" customHeight="1" x14ac:dyDescent="0.15">
      <c r="B76" s="163"/>
      <c r="C76" s="189"/>
      <c r="D76" s="190"/>
      <c r="E76" s="190"/>
      <c r="F76" s="190"/>
      <c r="G76" s="61"/>
      <c r="H76" s="61"/>
      <c r="I76" s="61"/>
    </row>
    <row r="77" spans="2:9" ht="12.75" customHeight="1" x14ac:dyDescent="0.15">
      <c r="B77" s="61"/>
      <c r="C77" s="190"/>
      <c r="D77" s="63"/>
      <c r="E77" s="63"/>
      <c r="F77" s="63"/>
      <c r="G77" s="61"/>
      <c r="H77" s="61"/>
      <c r="I77" s="61"/>
    </row>
    <row r="78" spans="2:9" ht="12.75" customHeight="1" x14ac:dyDescent="0.15">
      <c r="B78" s="61"/>
      <c r="C78" s="190"/>
      <c r="D78" s="63"/>
      <c r="E78" s="63"/>
      <c r="F78" s="63"/>
      <c r="G78" s="61"/>
      <c r="H78" s="61"/>
      <c r="I78" s="61"/>
    </row>
    <row r="79" spans="2:9" ht="12.75" customHeight="1" x14ac:dyDescent="0.15">
      <c r="B79" s="61"/>
      <c r="C79" s="190"/>
      <c r="D79" s="63"/>
      <c r="E79" s="63"/>
      <c r="F79" s="63"/>
      <c r="G79" s="61"/>
      <c r="H79" s="61"/>
      <c r="I79" s="61"/>
    </row>
    <row r="80" spans="2:9" ht="12.75" customHeight="1" x14ac:dyDescent="0.15">
      <c r="B80" s="64"/>
      <c r="C80" s="61"/>
      <c r="D80" s="61"/>
      <c r="E80" s="61"/>
      <c r="F80" s="61"/>
      <c r="G80" s="61"/>
      <c r="H80" s="61"/>
      <c r="I80" s="61"/>
    </row>
    <row r="81" spans="2:9" x14ac:dyDescent="0.15">
      <c r="B81" s="61"/>
      <c r="C81" s="61"/>
      <c r="D81" s="61"/>
      <c r="E81" s="61"/>
      <c r="F81" s="61"/>
      <c r="G81" s="61"/>
      <c r="H81" s="61"/>
      <c r="I81" s="61"/>
    </row>
    <row r="82" spans="2:9" ht="27.75" customHeight="1" x14ac:dyDescent="0.15">
      <c r="B82" s="62"/>
      <c r="C82" s="61"/>
      <c r="D82" s="61"/>
      <c r="E82" s="61"/>
      <c r="F82" s="61"/>
      <c r="G82" s="61"/>
      <c r="H82" s="61"/>
      <c r="I82" s="61"/>
    </row>
    <row r="83" spans="2:9" x14ac:dyDescent="0.15">
      <c r="B83" s="61"/>
      <c r="C83" s="61"/>
      <c r="D83" s="61"/>
      <c r="E83" s="61"/>
      <c r="F83" s="61"/>
      <c r="G83" s="61"/>
      <c r="H83" s="61"/>
      <c r="I83" s="61"/>
    </row>
    <row r="84" spans="2:9" x14ac:dyDescent="0.15">
      <c r="B84" s="61"/>
      <c r="C84" s="61"/>
      <c r="D84" s="61"/>
      <c r="E84" s="61"/>
      <c r="F84" s="61"/>
      <c r="G84" s="61"/>
      <c r="H84" s="61"/>
      <c r="I84" s="61"/>
    </row>
    <row r="85" spans="2:9" x14ac:dyDescent="0.15">
      <c r="B85" s="61"/>
      <c r="C85" s="61"/>
      <c r="D85" s="61"/>
      <c r="E85" s="61"/>
      <c r="F85" s="61"/>
      <c r="G85" s="61"/>
      <c r="H85" s="61"/>
      <c r="I85" s="61"/>
    </row>
  </sheetData>
  <conditionalFormatting sqref="C8:G8">
    <cfRule type="colorScale" priority="1">
      <colorScale>
        <cfvo type="min"/>
        <cfvo type="percentile" val="50"/>
        <cfvo type="max"/>
        <color rgb="FFF4C7C3"/>
        <color rgb="FFFFFFFF"/>
        <color rgb="FFC6E7C1"/>
      </colorScale>
    </cfRule>
    <cfRule type="colorScale" priority="2">
      <colorScale>
        <cfvo type="min"/>
        <cfvo type="percentile" val="50"/>
        <cfvo type="max"/>
        <color rgb="FFF4C7C3"/>
        <color rgb="FFFFFFFF"/>
        <color rgb="FFC6E7C1"/>
      </colorScale>
    </cfRule>
  </conditionalFormatting>
  <conditionalFormatting sqref="C12:G12">
    <cfRule type="colorScale" priority="3">
      <colorScale>
        <cfvo type="min"/>
        <cfvo type="percentile" val="50"/>
        <cfvo type="max"/>
        <color rgb="FFF4C7C3"/>
        <color rgb="FFFFFFFF"/>
        <color rgb="FFC6E7C1"/>
      </colorScale>
    </cfRule>
  </conditionalFormatting>
  <conditionalFormatting sqref="C16:G16">
    <cfRule type="colorScale" priority="4">
      <colorScale>
        <cfvo type="min"/>
        <cfvo type="percentile" val="50"/>
        <cfvo type="max"/>
        <color rgb="FFF4C7C3"/>
        <color rgb="FFFFFFFF"/>
        <color rgb="FFC6E7C1"/>
      </colorScale>
    </cfRule>
  </conditionalFormatting>
  <conditionalFormatting sqref="C20:G20">
    <cfRule type="colorScale" priority="5">
      <colorScale>
        <cfvo type="min"/>
        <cfvo type="percentile" val="50"/>
        <cfvo type="max"/>
        <color rgb="FFF4C7C3"/>
        <color rgb="FFFFFFFF"/>
        <color rgb="FFC6E7C1"/>
      </colorScale>
    </cfRule>
  </conditionalFormatting>
  <conditionalFormatting sqref="C24:G24">
    <cfRule type="colorScale" priority="6">
      <colorScale>
        <cfvo type="min"/>
        <cfvo type="percentile" val="50"/>
        <cfvo type="max"/>
        <color rgb="FFF4C7C3"/>
        <color rgb="FFFFFFFF"/>
        <color rgb="FFC6E7C1"/>
      </colorScale>
    </cfRule>
  </conditionalFormatting>
  <conditionalFormatting sqref="C29:G29">
    <cfRule type="colorScale" priority="7">
      <colorScale>
        <cfvo type="min"/>
        <cfvo type="percentile" val="50"/>
        <cfvo type="max"/>
        <color rgb="FFF4C7C3"/>
        <color rgb="FFFFFFFF"/>
        <color rgb="FFC6E7C1"/>
      </colorScale>
    </cfRule>
  </conditionalFormatting>
  <pageMargins left="0.7" right="0.7" top="0.75" bottom="0.75" header="0.511811023622047" footer="0.511811023622047"/>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BX66"/>
  <sheetViews>
    <sheetView workbookViewId="0">
      <selection activeCell="J30" sqref="J30"/>
    </sheetView>
  </sheetViews>
  <sheetFormatPr baseColWidth="10" defaultColWidth="8.83203125" defaultRowHeight="13" x14ac:dyDescent="0.15"/>
  <cols>
    <col min="1" max="1" width="28" customWidth="1"/>
    <col min="2" max="2" width="72" customWidth="1"/>
    <col min="3" max="79" width="12" customWidth="1"/>
  </cols>
  <sheetData>
    <row r="1" spans="1:3" ht="18" customHeight="1" x14ac:dyDescent="0.2">
      <c r="A1" s="115" t="s">
        <v>171</v>
      </c>
    </row>
    <row r="3" spans="1:3" x14ac:dyDescent="0.15">
      <c r="A3" s="65" t="s">
        <v>172</v>
      </c>
      <c r="B3" t="s">
        <v>173</v>
      </c>
    </row>
    <row r="4" spans="1:3" x14ac:dyDescent="0.15">
      <c r="A4" s="65" t="s">
        <v>174</v>
      </c>
      <c r="B4" t="s">
        <v>175</v>
      </c>
    </row>
    <row r="5" spans="1:3" x14ac:dyDescent="0.15">
      <c r="A5" s="65" t="s">
        <v>176</v>
      </c>
      <c r="B5" t="s">
        <v>177</v>
      </c>
    </row>
    <row r="6" spans="1:3" x14ac:dyDescent="0.15">
      <c r="A6" s="65" t="s">
        <v>178</v>
      </c>
      <c r="B6" t="s">
        <v>179</v>
      </c>
    </row>
    <row r="7" spans="1:3" x14ac:dyDescent="0.15">
      <c r="A7" s="65" t="s">
        <v>180</v>
      </c>
      <c r="B7" t="s">
        <v>181</v>
      </c>
    </row>
    <row r="8" spans="1:3" x14ac:dyDescent="0.15">
      <c r="A8" s="65" t="s">
        <v>182</v>
      </c>
      <c r="B8">
        <v>0.57999999999999996</v>
      </c>
      <c r="C8">
        <v>0.34820699999999999</v>
      </c>
    </row>
    <row r="9" spans="1:3" x14ac:dyDescent="0.15">
      <c r="A9" s="65" t="s">
        <v>183</v>
      </c>
      <c r="B9" t="s">
        <v>184</v>
      </c>
    </row>
    <row r="10" spans="1:3" x14ac:dyDescent="0.15">
      <c r="A10" s="65" t="s">
        <v>185</v>
      </c>
      <c r="B10" t="s">
        <v>186</v>
      </c>
    </row>
    <row r="11" spans="1:3" x14ac:dyDescent="0.15">
      <c r="A11" s="65"/>
    </row>
    <row r="12" spans="1:3" x14ac:dyDescent="0.15">
      <c r="A12" s="65"/>
    </row>
    <row r="15" spans="1:3" x14ac:dyDescent="0.15">
      <c r="A15" s="65"/>
    </row>
    <row r="27" spans="1:76" x14ac:dyDescent="0.15">
      <c r="D27" s="22"/>
      <c r="P27" s="22"/>
    </row>
    <row r="28" spans="1:76" x14ac:dyDescent="0.15">
      <c r="A28" s="114" t="s">
        <v>187</v>
      </c>
      <c r="G28" s="22"/>
      <c r="I28" s="22"/>
      <c r="J28" s="114" t="s">
        <v>188</v>
      </c>
      <c r="N28" s="22"/>
      <c r="O28" s="65"/>
      <c r="U28" s="112"/>
      <c r="AE28" s="65"/>
      <c r="AO28" s="65"/>
      <c r="AY28" s="65"/>
      <c r="BI28" s="65"/>
    </row>
    <row r="29" spans="1:76" ht="13.5" customHeight="1" thickBot="1" x14ac:dyDescent="0.2">
      <c r="A29" s="116" t="s">
        <v>189</v>
      </c>
      <c r="B29" s="116" t="s">
        <v>190</v>
      </c>
      <c r="C29" s="116" t="s">
        <v>191</v>
      </c>
      <c r="D29" s="116" t="s">
        <v>192</v>
      </c>
      <c r="E29" s="116" t="s">
        <v>193</v>
      </c>
      <c r="F29" s="116" t="s">
        <v>194</v>
      </c>
      <c r="G29" s="117" t="s">
        <v>195</v>
      </c>
      <c r="H29" s="117" t="s">
        <v>196</v>
      </c>
      <c r="I29" s="101"/>
      <c r="J29" s="118" t="s">
        <v>197</v>
      </c>
      <c r="K29" s="118" t="s">
        <v>198</v>
      </c>
      <c r="L29" s="118" t="s">
        <v>199</v>
      </c>
      <c r="M29" s="118" t="s">
        <v>200</v>
      </c>
      <c r="N29" s="118" t="s">
        <v>201</v>
      </c>
      <c r="O29" s="118" t="s">
        <v>202</v>
      </c>
      <c r="P29" s="118" t="s">
        <v>203</v>
      </c>
      <c r="Q29" s="118" t="s">
        <v>204</v>
      </c>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row>
    <row r="30" spans="1:76" ht="13.5" customHeight="1" thickTop="1" x14ac:dyDescent="0.15">
      <c r="A30" s="119">
        <v>2025</v>
      </c>
      <c r="B30" s="120">
        <v>36.391475</v>
      </c>
      <c r="C30" s="120">
        <v>74.287999999999997</v>
      </c>
      <c r="D30" s="121">
        <f t="shared" ref="D30:D65" si="0">B30/0.58+C30*0.348207</f>
        <v>88.611524029793102</v>
      </c>
      <c r="E30" s="120">
        <v>89.605769605507689</v>
      </c>
      <c r="F30" s="122">
        <v>0.39277236986301378</v>
      </c>
      <c r="G30" s="123">
        <v>0.51691237671232892</v>
      </c>
      <c r="H30" s="124">
        <v>9.0315253424657543E-2</v>
      </c>
      <c r="I30" s="102"/>
      <c r="J30" s="125">
        <f>B30*(1+Ass.!$M$30)</f>
        <v>36.391475</v>
      </c>
      <c r="K30" s="126">
        <f>C30*(1+Ass.!$M$32)</f>
        <v>74.287999999999997</v>
      </c>
      <c r="L30" s="126">
        <f t="shared" ref="L30:L65" si="1">J30/0.58+K30*0.348207</f>
        <v>88.611524029793102</v>
      </c>
      <c r="M30" s="126">
        <f t="shared" ref="M30:M65" si="2">L30</f>
        <v>88.611524029793102</v>
      </c>
      <c r="N30" s="127">
        <f>E30+Ass.!$M$33*(L30-D30)</f>
        <v>89.605769605507689</v>
      </c>
      <c r="O30" s="127">
        <f>MIN(1,MAX(0,F30+Ass.!$M$31))</f>
        <v>0.39277236986301378</v>
      </c>
      <c r="P30" s="127">
        <f t="shared" ref="P30:P65" si="3">G30-(O30-F30)*G30/(G30+H30)</f>
        <v>0.51691237671232892</v>
      </c>
      <c r="Q30" s="128">
        <f t="shared" ref="Q30:Q65" si="4">H30-(O30-F30)*H30/(G30+H30)</f>
        <v>9.0315253424657543E-2</v>
      </c>
      <c r="R30" s="68"/>
      <c r="S30" s="68"/>
      <c r="T30" s="68"/>
      <c r="U30" s="68"/>
      <c r="V30" s="68"/>
      <c r="W30" s="68"/>
      <c r="X30" s="68"/>
      <c r="Y30" s="68"/>
      <c r="Z30" s="68"/>
      <c r="AA30" s="67"/>
      <c r="AB30" s="68"/>
      <c r="AC30" s="68"/>
      <c r="AD30" s="68"/>
      <c r="AE30" s="68"/>
      <c r="AF30" s="68"/>
      <c r="AG30" s="68"/>
      <c r="AH30" s="68"/>
      <c r="AI30" s="68"/>
      <c r="AJ30" s="68"/>
      <c r="AK30" s="67"/>
      <c r="AL30" s="68"/>
      <c r="AM30" s="68"/>
      <c r="AN30" s="68"/>
      <c r="AO30" s="68"/>
      <c r="AP30" s="68"/>
      <c r="AQ30" s="68"/>
      <c r="AR30" s="68"/>
      <c r="AS30" s="68"/>
      <c r="AT30" s="68"/>
      <c r="AU30" s="67"/>
      <c r="AV30" s="68"/>
      <c r="AW30" s="68"/>
      <c r="AX30" s="68"/>
      <c r="AY30" s="68"/>
      <c r="AZ30" s="68"/>
      <c r="BA30" s="68"/>
      <c r="BB30" s="68"/>
      <c r="BC30" s="68"/>
      <c r="BD30" s="68"/>
      <c r="BE30" s="67"/>
      <c r="BF30" s="68"/>
      <c r="BG30" s="68"/>
      <c r="BH30" s="68"/>
      <c r="BI30" s="68"/>
      <c r="BJ30" s="68"/>
      <c r="BK30" s="68"/>
      <c r="BL30" s="68"/>
      <c r="BM30" s="68"/>
      <c r="BN30" s="68"/>
      <c r="BO30" s="67"/>
      <c r="BP30" s="68"/>
      <c r="BQ30" s="68"/>
      <c r="BR30" s="68"/>
      <c r="BS30" s="68"/>
      <c r="BT30" s="68"/>
      <c r="BU30" s="68"/>
      <c r="BV30" s="68"/>
      <c r="BW30" s="68"/>
      <c r="BX30" s="68"/>
    </row>
    <row r="31" spans="1:76" x14ac:dyDescent="0.15">
      <c r="A31" s="129">
        <v>2026</v>
      </c>
      <c r="B31" s="130">
        <v>51.02</v>
      </c>
      <c r="C31" s="130">
        <v>79.11</v>
      </c>
      <c r="D31" s="121">
        <f t="shared" si="0"/>
        <v>115.51217301137932</v>
      </c>
      <c r="E31" s="130">
        <v>106.651660878177</v>
      </c>
      <c r="F31" s="131">
        <v>0.35807858630136991</v>
      </c>
      <c r="G31" s="132">
        <v>0.53642271643835637</v>
      </c>
      <c r="H31" s="124">
        <v>0.105498697260274</v>
      </c>
      <c r="I31" s="103"/>
      <c r="J31" s="133">
        <f>B31*(1+Ass.!$M$30)</f>
        <v>51.02</v>
      </c>
      <c r="K31" s="134">
        <f>C31*(1+Ass.!$M$32)</f>
        <v>79.11</v>
      </c>
      <c r="L31" s="134">
        <f t="shared" si="1"/>
        <v>115.51217301137932</v>
      </c>
      <c r="M31" s="134">
        <f t="shared" si="2"/>
        <v>115.51217301137932</v>
      </c>
      <c r="N31" s="127">
        <f>E31+Ass.!$M$33*(L31-D31)</f>
        <v>106.651660878177</v>
      </c>
      <c r="O31" s="127">
        <f>MIN(1,MAX(0,F31+Ass.!$M$31))</f>
        <v>0.35807858630136991</v>
      </c>
      <c r="P31" s="127">
        <f t="shared" si="3"/>
        <v>0.53642271643835637</v>
      </c>
      <c r="Q31" s="135">
        <f t="shared" si="4"/>
        <v>0.105498697260274</v>
      </c>
      <c r="R31" s="82"/>
      <c r="S31" s="82"/>
      <c r="T31" s="82"/>
      <c r="U31" s="82"/>
      <c r="V31" s="82"/>
      <c r="W31" s="82"/>
      <c r="X31" s="82"/>
      <c r="Y31" s="82"/>
      <c r="Z31" s="82"/>
      <c r="AA31" s="81"/>
      <c r="AB31" s="82"/>
      <c r="AC31" s="82"/>
      <c r="AD31" s="82"/>
      <c r="AE31" s="82"/>
      <c r="AF31" s="82"/>
      <c r="AG31" s="82"/>
      <c r="AH31" s="82"/>
      <c r="AI31" s="82"/>
      <c r="AJ31" s="82"/>
      <c r="AK31" s="81"/>
      <c r="AL31" s="82"/>
      <c r="AM31" s="82"/>
      <c r="AN31" s="82"/>
      <c r="AO31" s="82"/>
      <c r="AP31" s="82"/>
      <c r="AQ31" s="82"/>
      <c r="AR31" s="82"/>
      <c r="AS31" s="82"/>
      <c r="AT31" s="82"/>
      <c r="AU31" s="81"/>
      <c r="AV31" s="82"/>
      <c r="AW31" s="82"/>
      <c r="AX31" s="82"/>
      <c r="AY31" s="82"/>
      <c r="AZ31" s="82"/>
      <c r="BA31" s="82"/>
      <c r="BB31" s="82"/>
      <c r="BC31" s="82"/>
      <c r="BD31" s="82"/>
      <c r="BE31" s="81"/>
      <c r="BF31" s="82"/>
      <c r="BG31" s="82"/>
      <c r="BH31" s="82"/>
      <c r="BI31" s="82"/>
      <c r="BJ31" s="82"/>
      <c r="BK31" s="82"/>
      <c r="BL31" s="82"/>
      <c r="BM31" s="82"/>
      <c r="BN31" s="82"/>
      <c r="BO31" s="81"/>
      <c r="BP31" s="82"/>
      <c r="BQ31" s="82"/>
      <c r="BR31" s="82"/>
      <c r="BS31" s="82"/>
      <c r="BT31" s="82"/>
      <c r="BU31" s="82"/>
      <c r="BV31" s="82"/>
      <c r="BW31" s="82"/>
      <c r="BX31" s="82"/>
    </row>
    <row r="32" spans="1:76" s="87" customFormat="1" x14ac:dyDescent="0.15">
      <c r="A32" s="136">
        <v>2027</v>
      </c>
      <c r="B32" s="137">
        <v>38.524166666666673</v>
      </c>
      <c r="C32" s="137">
        <v>81.89</v>
      </c>
      <c r="D32" s="121">
        <f t="shared" si="0"/>
        <v>94.935648241494277</v>
      </c>
      <c r="E32" s="137">
        <v>84.246606807236148</v>
      </c>
      <c r="F32" s="138">
        <v>0.33849150958904112</v>
      </c>
      <c r="G32" s="132">
        <v>0.52795574931506861</v>
      </c>
      <c r="H32" s="124">
        <v>0.13355274109589041</v>
      </c>
      <c r="I32" s="103"/>
      <c r="J32" s="139">
        <f>B32*(1+Ass.!$M$30)</f>
        <v>38.524166666666673</v>
      </c>
      <c r="K32" s="140">
        <f>C32*(1+Ass.!$M$32)</f>
        <v>81.89</v>
      </c>
      <c r="L32" s="140">
        <f t="shared" si="1"/>
        <v>94.935648241494277</v>
      </c>
      <c r="M32" s="140">
        <f t="shared" si="2"/>
        <v>94.935648241494277</v>
      </c>
      <c r="N32" s="127">
        <f>E32+Ass.!$M$33*(L32-D32)</f>
        <v>84.246606807236148</v>
      </c>
      <c r="O32" s="127">
        <f>MIN(1,MAX(0,F32+Ass.!$M$31))</f>
        <v>0.33849150958904112</v>
      </c>
      <c r="P32" s="127">
        <f t="shared" si="3"/>
        <v>0.52795574931506861</v>
      </c>
      <c r="Q32" s="141">
        <f t="shared" si="4"/>
        <v>0.13355274109589041</v>
      </c>
      <c r="R32" s="85"/>
      <c r="S32" s="85"/>
      <c r="T32" s="85"/>
      <c r="U32" s="85"/>
      <c r="V32" s="85"/>
      <c r="W32" s="85"/>
      <c r="X32" s="85"/>
      <c r="Y32" s="85"/>
      <c r="Z32" s="85"/>
      <c r="AA32" s="86"/>
      <c r="AB32" s="85"/>
      <c r="AC32" s="85"/>
      <c r="AD32" s="85"/>
      <c r="AE32" s="85"/>
      <c r="AF32" s="85"/>
      <c r="AG32" s="85"/>
      <c r="AH32" s="85"/>
      <c r="AI32" s="85"/>
      <c r="AJ32" s="85"/>
      <c r="AK32" s="86"/>
      <c r="AL32" s="85"/>
      <c r="AM32" s="85"/>
      <c r="AN32" s="85"/>
      <c r="AO32" s="85"/>
      <c r="AP32" s="85"/>
      <c r="AQ32" s="85"/>
      <c r="AR32" s="85"/>
      <c r="AS32" s="85"/>
      <c r="AT32" s="85"/>
      <c r="AU32" s="86"/>
      <c r="AV32" s="85"/>
      <c r="AW32" s="85"/>
      <c r="AX32" s="85"/>
      <c r="AY32" s="85"/>
      <c r="AZ32" s="85"/>
      <c r="BA32" s="85"/>
      <c r="BB32" s="85"/>
      <c r="BC32" s="85"/>
      <c r="BD32" s="85"/>
      <c r="BE32" s="86"/>
      <c r="BF32" s="85"/>
      <c r="BG32" s="85"/>
      <c r="BH32" s="85"/>
      <c r="BI32" s="85"/>
      <c r="BJ32" s="85"/>
      <c r="BK32" s="85"/>
      <c r="BL32" s="85"/>
      <c r="BM32" s="85"/>
      <c r="BN32" s="85"/>
      <c r="BO32" s="86"/>
      <c r="BP32" s="85"/>
      <c r="BQ32" s="85"/>
      <c r="BR32" s="85"/>
      <c r="BS32" s="85"/>
      <c r="BT32" s="85"/>
      <c r="BU32" s="85"/>
      <c r="BV32" s="85"/>
      <c r="BW32" s="85"/>
      <c r="BX32" s="85"/>
    </row>
    <row r="33" spans="1:76" x14ac:dyDescent="0.15">
      <c r="A33" s="142">
        <v>2028</v>
      </c>
      <c r="B33" s="143">
        <v>27.9</v>
      </c>
      <c r="C33" s="143">
        <v>84.78</v>
      </c>
      <c r="D33" s="121">
        <f t="shared" si="0"/>
        <v>77.624437735862074</v>
      </c>
      <c r="E33" s="143">
        <v>65.808216558603121</v>
      </c>
      <c r="F33" s="144">
        <v>0.33181582786885239</v>
      </c>
      <c r="G33" s="132">
        <v>0.51243263387978155</v>
      </c>
      <c r="H33" s="124">
        <v>0.1557515382513662</v>
      </c>
      <c r="I33" s="103"/>
      <c r="J33" s="145">
        <f>B33*(1+Ass.!$M$30)</f>
        <v>27.9</v>
      </c>
      <c r="K33" s="146">
        <f>C33*(1+Ass.!$M$32)</f>
        <v>84.78</v>
      </c>
      <c r="L33" s="146">
        <f t="shared" si="1"/>
        <v>77.624437735862074</v>
      </c>
      <c r="M33" s="146">
        <f t="shared" si="2"/>
        <v>77.624437735862074</v>
      </c>
      <c r="N33" s="127">
        <f>E33+Ass.!$M$33*(L33-D33)</f>
        <v>65.808216558603121</v>
      </c>
      <c r="O33" s="127">
        <f>MIN(1,MAX(0,F33+Ass.!$M$31))</f>
        <v>0.33181582786885239</v>
      </c>
      <c r="P33" s="127">
        <f t="shared" si="3"/>
        <v>0.51243263387978155</v>
      </c>
      <c r="Q33" s="147">
        <f t="shared" si="4"/>
        <v>0.1557515382513662</v>
      </c>
      <c r="R33" s="84"/>
      <c r="S33" s="84"/>
      <c r="T33" s="84"/>
      <c r="U33" s="84"/>
      <c r="V33" s="84"/>
      <c r="W33" s="84"/>
      <c r="X33" s="84"/>
      <c r="Y33" s="84"/>
      <c r="Z33" s="84"/>
      <c r="AA33" s="83"/>
      <c r="AB33" s="84"/>
      <c r="AC33" s="84"/>
      <c r="AD33" s="84"/>
      <c r="AE33" s="84"/>
      <c r="AF33" s="84"/>
      <c r="AG33" s="84"/>
      <c r="AH33" s="84"/>
      <c r="AI33" s="84"/>
      <c r="AJ33" s="84"/>
      <c r="AK33" s="83"/>
      <c r="AL33" s="84"/>
      <c r="AM33" s="84"/>
      <c r="AN33" s="84"/>
      <c r="AO33" s="84"/>
      <c r="AP33" s="84"/>
      <c r="AQ33" s="84"/>
      <c r="AR33" s="84"/>
      <c r="AS33" s="84"/>
      <c r="AT33" s="84"/>
      <c r="AU33" s="83"/>
      <c r="AV33" s="84"/>
      <c r="AW33" s="84"/>
      <c r="AX33" s="84"/>
      <c r="AY33" s="84"/>
      <c r="AZ33" s="84"/>
      <c r="BA33" s="84"/>
      <c r="BB33" s="84"/>
      <c r="BC33" s="84"/>
      <c r="BD33" s="84"/>
      <c r="BE33" s="83"/>
      <c r="BF33" s="84"/>
      <c r="BG33" s="84"/>
      <c r="BH33" s="84"/>
      <c r="BI33" s="84"/>
      <c r="BJ33" s="84"/>
      <c r="BK33" s="84"/>
      <c r="BL33" s="84"/>
      <c r="BM33" s="84"/>
      <c r="BN33" s="84"/>
      <c r="BO33" s="83"/>
      <c r="BP33" s="84"/>
      <c r="BQ33" s="84"/>
      <c r="BR33" s="84"/>
      <c r="BS33" s="84"/>
      <c r="BT33" s="84"/>
      <c r="BU33" s="84"/>
      <c r="BV33" s="84"/>
      <c r="BW33" s="84"/>
      <c r="BX33" s="84"/>
    </row>
    <row r="34" spans="1:76" x14ac:dyDescent="0.15">
      <c r="A34" s="119">
        <v>2029</v>
      </c>
      <c r="B34" s="120">
        <v>23.607500000000002</v>
      </c>
      <c r="C34" s="120">
        <v>88.03</v>
      </c>
      <c r="D34" s="121">
        <f t="shared" si="0"/>
        <v>71.355248416896558</v>
      </c>
      <c r="E34" s="120">
        <v>57.926201408946987</v>
      </c>
      <c r="F34" s="122">
        <v>0.31676670205479451</v>
      </c>
      <c r="G34" s="132">
        <v>0.48237677602739731</v>
      </c>
      <c r="H34" s="124">
        <v>0.2008565219178082</v>
      </c>
      <c r="I34" s="103"/>
      <c r="J34" s="125">
        <f>B34*(1+Ass.!$M$30)</f>
        <v>23.607500000000002</v>
      </c>
      <c r="K34" s="126">
        <f>C34*(1+Ass.!$M$32)</f>
        <v>88.03</v>
      </c>
      <c r="L34" s="126">
        <f t="shared" si="1"/>
        <v>71.355248416896558</v>
      </c>
      <c r="M34" s="126">
        <f t="shared" si="2"/>
        <v>71.355248416896558</v>
      </c>
      <c r="N34" s="127">
        <f>E34+Ass.!$M$33*(L34-D34)</f>
        <v>57.926201408946987</v>
      </c>
      <c r="O34" s="127">
        <f>MIN(1,MAX(0,F34+Ass.!$M$31))</f>
        <v>0.31676670205479451</v>
      </c>
      <c r="P34" s="127">
        <f t="shared" si="3"/>
        <v>0.48237677602739731</v>
      </c>
      <c r="Q34" s="128">
        <f t="shared" si="4"/>
        <v>0.2008565219178082</v>
      </c>
      <c r="R34" s="68"/>
      <c r="S34" s="68"/>
      <c r="T34" s="68"/>
      <c r="U34" s="68"/>
      <c r="V34" s="68"/>
      <c r="W34" s="68"/>
      <c r="X34" s="68"/>
      <c r="Y34" s="68"/>
      <c r="Z34" s="68"/>
      <c r="AA34" s="67"/>
      <c r="AB34" s="68"/>
      <c r="AC34" s="68"/>
      <c r="AD34" s="68"/>
      <c r="AE34" s="68"/>
      <c r="AF34" s="68"/>
      <c r="AG34" s="68"/>
      <c r="AH34" s="68"/>
      <c r="AI34" s="68"/>
      <c r="AJ34" s="68"/>
      <c r="AK34" s="67"/>
      <c r="AL34" s="68"/>
      <c r="AM34" s="68"/>
      <c r="AN34" s="68"/>
      <c r="AO34" s="68"/>
      <c r="AP34" s="68"/>
      <c r="AQ34" s="68"/>
      <c r="AR34" s="68"/>
      <c r="AS34" s="68"/>
      <c r="AT34" s="68"/>
      <c r="AU34" s="67"/>
      <c r="AV34" s="68"/>
      <c r="AW34" s="68"/>
      <c r="AX34" s="68"/>
      <c r="AY34" s="68"/>
      <c r="AZ34" s="68"/>
      <c r="BA34" s="68"/>
      <c r="BB34" s="68"/>
      <c r="BC34" s="68"/>
      <c r="BD34" s="68"/>
      <c r="BE34" s="67"/>
      <c r="BF34" s="68"/>
      <c r="BG34" s="68"/>
      <c r="BH34" s="68"/>
      <c r="BI34" s="68"/>
      <c r="BJ34" s="68"/>
      <c r="BK34" s="68"/>
      <c r="BL34" s="68"/>
      <c r="BM34" s="68"/>
      <c r="BN34" s="68"/>
      <c r="BO34" s="67"/>
      <c r="BP34" s="68"/>
      <c r="BQ34" s="68"/>
      <c r="BR34" s="68"/>
      <c r="BS34" s="68"/>
      <c r="BT34" s="68"/>
      <c r="BU34" s="68"/>
      <c r="BV34" s="68"/>
      <c r="BW34" s="68"/>
      <c r="BX34" s="68"/>
    </row>
    <row r="35" spans="1:76" x14ac:dyDescent="0.15">
      <c r="A35" s="119">
        <v>2030</v>
      </c>
      <c r="B35" s="120">
        <v>22.432500000000001</v>
      </c>
      <c r="C35" s="120">
        <v>91.43</v>
      </c>
      <c r="D35" s="121">
        <f t="shared" si="0"/>
        <v>70.513290147931045</v>
      </c>
      <c r="E35" s="120">
        <v>52.917039682501589</v>
      </c>
      <c r="F35" s="122">
        <v>0.29840140616438349</v>
      </c>
      <c r="G35" s="132">
        <v>0.49462163630136979</v>
      </c>
      <c r="H35" s="124">
        <v>0.20697695753424661</v>
      </c>
      <c r="I35" s="103"/>
      <c r="J35" s="125">
        <f>B35*(1+Ass.!$M$30)</f>
        <v>22.432500000000001</v>
      </c>
      <c r="K35" s="126">
        <f>C35*(1+Ass.!$M$32)</f>
        <v>91.43</v>
      </c>
      <c r="L35" s="126">
        <f t="shared" si="1"/>
        <v>70.513290147931045</v>
      </c>
      <c r="M35" s="126">
        <f t="shared" si="2"/>
        <v>70.513290147931045</v>
      </c>
      <c r="N35" s="127">
        <f>E35+Ass.!$M$33*(L35-D35)</f>
        <v>52.917039682501589</v>
      </c>
      <c r="O35" s="127">
        <f>MIN(1,MAX(0,F35+Ass.!$M$31))</f>
        <v>0.29840140616438349</v>
      </c>
      <c r="P35" s="127">
        <f t="shared" si="3"/>
        <v>0.49462163630136979</v>
      </c>
      <c r="Q35" s="128">
        <f t="shared" si="4"/>
        <v>0.20697695753424661</v>
      </c>
      <c r="R35" s="68"/>
      <c r="S35" s="68"/>
      <c r="T35" s="68"/>
      <c r="U35" s="68"/>
      <c r="V35" s="68"/>
      <c r="W35" s="68"/>
      <c r="X35" s="68"/>
      <c r="Y35" s="68"/>
      <c r="Z35" s="68"/>
      <c r="AA35" s="67"/>
      <c r="AB35" s="68"/>
      <c r="AC35" s="68"/>
      <c r="AD35" s="68"/>
      <c r="AE35" s="68"/>
      <c r="AF35" s="68"/>
      <c r="AG35" s="68"/>
      <c r="AH35" s="68"/>
      <c r="AI35" s="68"/>
      <c r="AJ35" s="68"/>
      <c r="AK35" s="67"/>
      <c r="AL35" s="68"/>
      <c r="AM35" s="68"/>
      <c r="AN35" s="68"/>
      <c r="AO35" s="68"/>
      <c r="AP35" s="68"/>
      <c r="AQ35" s="68"/>
      <c r="AR35" s="68"/>
      <c r="AS35" s="68"/>
      <c r="AT35" s="68"/>
      <c r="AU35" s="67"/>
      <c r="AV35" s="68"/>
      <c r="AW35" s="68"/>
      <c r="AX35" s="68"/>
      <c r="AY35" s="68"/>
      <c r="AZ35" s="68"/>
      <c r="BA35" s="68"/>
      <c r="BB35" s="68"/>
      <c r="BC35" s="68"/>
      <c r="BD35" s="68"/>
      <c r="BE35" s="67"/>
      <c r="BF35" s="68"/>
      <c r="BG35" s="68"/>
      <c r="BH35" s="68"/>
      <c r="BI35" s="68"/>
      <c r="BJ35" s="68"/>
      <c r="BK35" s="68"/>
      <c r="BL35" s="68"/>
      <c r="BM35" s="68"/>
      <c r="BN35" s="68"/>
      <c r="BO35" s="67"/>
      <c r="BP35" s="68"/>
      <c r="BQ35" s="68"/>
      <c r="BR35" s="68"/>
      <c r="BS35" s="68"/>
      <c r="BT35" s="68"/>
      <c r="BU35" s="68"/>
      <c r="BV35" s="68"/>
      <c r="BW35" s="68"/>
      <c r="BX35" s="68"/>
    </row>
    <row r="36" spans="1:76" x14ac:dyDescent="0.15">
      <c r="A36" s="119">
        <v>2031</v>
      </c>
      <c r="B36" s="120">
        <v>24.0822</v>
      </c>
      <c r="C36" s="120">
        <v>94.53</v>
      </c>
      <c r="D36" s="121">
        <f t="shared" si="0"/>
        <v>74.437042192758625</v>
      </c>
      <c r="E36" s="120">
        <v>58.786147412985848</v>
      </c>
      <c r="F36" s="122">
        <v>0.30612774246575342</v>
      </c>
      <c r="G36" s="132">
        <v>0.48860485342465748</v>
      </c>
      <c r="H36" s="124">
        <v>0.20526740410958899</v>
      </c>
      <c r="I36" s="103"/>
      <c r="J36" s="125">
        <f>B36*(1+Ass.!$M$30)</f>
        <v>24.0822</v>
      </c>
      <c r="K36" s="126">
        <f>C36*(1+Ass.!$M$32)</f>
        <v>94.53</v>
      </c>
      <c r="L36" s="126">
        <f t="shared" si="1"/>
        <v>74.437042192758625</v>
      </c>
      <c r="M36" s="126">
        <f t="shared" si="2"/>
        <v>74.437042192758625</v>
      </c>
      <c r="N36" s="127">
        <f>E36+Ass.!$M$33*(L36-D36)</f>
        <v>58.786147412985848</v>
      </c>
      <c r="O36" s="127">
        <f>MIN(1,MAX(0,F36+Ass.!$M$31))</f>
        <v>0.30612774246575342</v>
      </c>
      <c r="P36" s="127">
        <f t="shared" si="3"/>
        <v>0.48860485342465748</v>
      </c>
      <c r="Q36" s="128">
        <f t="shared" si="4"/>
        <v>0.20526740410958899</v>
      </c>
      <c r="R36" s="68"/>
      <c r="S36" s="68"/>
      <c r="T36" s="68"/>
      <c r="U36" s="68"/>
      <c r="V36" s="68"/>
      <c r="W36" s="68"/>
      <c r="X36" s="68"/>
      <c r="Y36" s="68"/>
      <c r="Z36" s="68"/>
      <c r="AA36" s="67"/>
      <c r="AB36" s="68"/>
      <c r="AC36" s="68"/>
      <c r="AD36" s="68"/>
      <c r="AE36" s="68"/>
      <c r="AF36" s="68"/>
      <c r="AG36" s="68"/>
      <c r="AH36" s="68"/>
      <c r="AI36" s="68"/>
      <c r="AJ36" s="68"/>
      <c r="AK36" s="67"/>
      <c r="AL36" s="68"/>
      <c r="AM36" s="68"/>
      <c r="AN36" s="68"/>
      <c r="AO36" s="68"/>
      <c r="AP36" s="68"/>
      <c r="AQ36" s="68"/>
      <c r="AR36" s="68"/>
      <c r="AS36" s="68"/>
      <c r="AT36" s="68"/>
      <c r="AU36" s="67"/>
      <c r="AV36" s="68"/>
      <c r="AW36" s="68"/>
      <c r="AX36" s="68"/>
      <c r="AY36" s="68"/>
      <c r="AZ36" s="68"/>
      <c r="BA36" s="68"/>
      <c r="BB36" s="68"/>
      <c r="BC36" s="68"/>
      <c r="BD36" s="68"/>
      <c r="BE36" s="67"/>
      <c r="BF36" s="68"/>
      <c r="BG36" s="68"/>
      <c r="BH36" s="68"/>
      <c r="BI36" s="68"/>
      <c r="BJ36" s="68"/>
      <c r="BK36" s="68"/>
      <c r="BL36" s="68"/>
      <c r="BM36" s="68"/>
      <c r="BN36" s="68"/>
      <c r="BO36" s="67"/>
      <c r="BP36" s="68"/>
      <c r="BQ36" s="68"/>
      <c r="BR36" s="68"/>
      <c r="BS36" s="68"/>
      <c r="BT36" s="68"/>
      <c r="BU36" s="68"/>
      <c r="BV36" s="68"/>
      <c r="BW36" s="68"/>
      <c r="BX36" s="68"/>
    </row>
    <row r="37" spans="1:76" x14ac:dyDescent="0.15">
      <c r="A37" s="119">
        <v>2032</v>
      </c>
      <c r="B37" s="120">
        <v>24.563844</v>
      </c>
      <c r="C37" s="120">
        <v>97.63</v>
      </c>
      <c r="D37" s="121">
        <f t="shared" si="0"/>
        <v>76.346904582413799</v>
      </c>
      <c r="E37" s="120">
        <v>62.582385096017958</v>
      </c>
      <c r="F37" s="122">
        <v>0.30208814549180329</v>
      </c>
      <c r="G37" s="132">
        <v>0.46853773019125688</v>
      </c>
      <c r="H37" s="124">
        <v>0.2293741243169399</v>
      </c>
      <c r="I37" s="103"/>
      <c r="J37" s="125">
        <f>B37*(1+Ass.!$M$30)</f>
        <v>24.563844</v>
      </c>
      <c r="K37" s="126">
        <f>C37*(1+Ass.!$M$32)</f>
        <v>97.63</v>
      </c>
      <c r="L37" s="126">
        <f t="shared" si="1"/>
        <v>76.346904582413799</v>
      </c>
      <c r="M37" s="126">
        <f t="shared" si="2"/>
        <v>76.346904582413799</v>
      </c>
      <c r="N37" s="127">
        <f>E37+Ass.!$M$33*(L37-D37)</f>
        <v>62.582385096017958</v>
      </c>
      <c r="O37" s="127">
        <f>MIN(1,MAX(0,F37+Ass.!$M$31))</f>
        <v>0.30208814549180329</v>
      </c>
      <c r="P37" s="127">
        <f t="shared" si="3"/>
        <v>0.46853773019125688</v>
      </c>
      <c r="Q37" s="128">
        <f t="shared" si="4"/>
        <v>0.2293741243169399</v>
      </c>
      <c r="R37" s="68"/>
      <c r="S37" s="68"/>
      <c r="T37" s="68"/>
      <c r="U37" s="68"/>
      <c r="V37" s="68"/>
      <c r="W37" s="68"/>
      <c r="X37" s="68"/>
      <c r="Y37" s="68"/>
      <c r="Z37" s="68"/>
      <c r="AA37" s="67"/>
      <c r="AB37" s="68"/>
      <c r="AC37" s="68"/>
      <c r="AD37" s="68"/>
      <c r="AE37" s="68"/>
      <c r="AF37" s="68"/>
      <c r="AG37" s="68"/>
      <c r="AH37" s="68"/>
      <c r="AI37" s="68"/>
      <c r="AJ37" s="68"/>
      <c r="AK37" s="67"/>
      <c r="AL37" s="68"/>
      <c r="AM37" s="68"/>
      <c r="AN37" s="68"/>
      <c r="AO37" s="68"/>
      <c r="AP37" s="68"/>
      <c r="AQ37" s="68"/>
      <c r="AR37" s="68"/>
      <c r="AS37" s="68"/>
      <c r="AT37" s="68"/>
      <c r="AU37" s="67"/>
      <c r="AV37" s="68"/>
      <c r="AW37" s="68"/>
      <c r="AX37" s="68"/>
      <c r="AY37" s="68"/>
      <c r="AZ37" s="68"/>
      <c r="BA37" s="68"/>
      <c r="BB37" s="68"/>
      <c r="BC37" s="68"/>
      <c r="BD37" s="68"/>
      <c r="BE37" s="67"/>
      <c r="BF37" s="68"/>
      <c r="BG37" s="68"/>
      <c r="BH37" s="68"/>
      <c r="BI37" s="68"/>
      <c r="BJ37" s="68"/>
      <c r="BK37" s="68"/>
      <c r="BL37" s="68"/>
      <c r="BM37" s="68"/>
      <c r="BN37" s="68"/>
      <c r="BO37" s="67"/>
      <c r="BP37" s="68"/>
      <c r="BQ37" s="68"/>
      <c r="BR37" s="68"/>
      <c r="BS37" s="68"/>
      <c r="BT37" s="68"/>
      <c r="BU37" s="68"/>
      <c r="BV37" s="68"/>
      <c r="BW37" s="68"/>
      <c r="BX37" s="68"/>
    </row>
    <row r="38" spans="1:76" x14ac:dyDescent="0.15">
      <c r="A38" s="119">
        <v>2033</v>
      </c>
      <c r="B38" s="120">
        <v>25.05512088</v>
      </c>
      <c r="C38" s="120">
        <v>99.582599999999999</v>
      </c>
      <c r="D38" s="121">
        <f t="shared" si="0"/>
        <v>77.873842674062075</v>
      </c>
      <c r="E38" s="120">
        <v>65.882851174365342</v>
      </c>
      <c r="F38" s="122">
        <v>0.2993095349315068</v>
      </c>
      <c r="G38" s="132">
        <v>0.47103758561643833</v>
      </c>
      <c r="H38" s="124">
        <v>0.22965287945205479</v>
      </c>
      <c r="I38" s="103"/>
      <c r="J38" s="125">
        <f>B38*(1+Ass.!$M$30)</f>
        <v>25.05512088</v>
      </c>
      <c r="K38" s="126">
        <f>C38*(1+Ass.!$M$32)</f>
        <v>99.582599999999999</v>
      </c>
      <c r="L38" s="126">
        <f t="shared" si="1"/>
        <v>77.873842674062075</v>
      </c>
      <c r="M38" s="126">
        <f t="shared" si="2"/>
        <v>77.873842674062075</v>
      </c>
      <c r="N38" s="127">
        <f>E38+Ass.!$M$33*(L38-D38)</f>
        <v>65.882851174365342</v>
      </c>
      <c r="O38" s="127">
        <f>MIN(1,MAX(0,F38+Ass.!$M$31))</f>
        <v>0.2993095349315068</v>
      </c>
      <c r="P38" s="127">
        <f t="shared" si="3"/>
        <v>0.47103758561643833</v>
      </c>
      <c r="Q38" s="128">
        <f t="shared" si="4"/>
        <v>0.22965287945205479</v>
      </c>
      <c r="R38" s="68"/>
      <c r="S38" s="68"/>
      <c r="T38" s="68"/>
      <c r="U38" s="68"/>
      <c r="V38" s="68"/>
      <c r="W38" s="68"/>
      <c r="X38" s="68"/>
      <c r="Y38" s="68"/>
      <c r="Z38" s="68"/>
      <c r="AA38" s="67"/>
      <c r="AB38" s="68"/>
      <c r="AC38" s="68"/>
      <c r="AD38" s="68"/>
      <c r="AE38" s="68"/>
      <c r="AF38" s="68"/>
      <c r="AG38" s="68"/>
      <c r="AH38" s="68"/>
      <c r="AI38" s="68"/>
      <c r="AJ38" s="68"/>
      <c r="AK38" s="67"/>
      <c r="AL38" s="68"/>
      <c r="AM38" s="68"/>
      <c r="AN38" s="68"/>
      <c r="AO38" s="68"/>
      <c r="AP38" s="68"/>
      <c r="AQ38" s="68"/>
      <c r="AR38" s="68"/>
      <c r="AS38" s="68"/>
      <c r="AT38" s="68"/>
      <c r="AU38" s="67"/>
      <c r="AV38" s="68"/>
      <c r="AW38" s="68"/>
      <c r="AX38" s="68"/>
      <c r="AY38" s="68"/>
      <c r="AZ38" s="68"/>
      <c r="BA38" s="68"/>
      <c r="BB38" s="68"/>
      <c r="BC38" s="68"/>
      <c r="BD38" s="68"/>
      <c r="BE38" s="67"/>
      <c r="BF38" s="68"/>
      <c r="BG38" s="68"/>
      <c r="BH38" s="68"/>
      <c r="BI38" s="68"/>
      <c r="BJ38" s="68"/>
      <c r="BK38" s="68"/>
      <c r="BL38" s="68"/>
      <c r="BM38" s="68"/>
      <c r="BN38" s="68"/>
      <c r="BO38" s="67"/>
      <c r="BP38" s="68"/>
      <c r="BQ38" s="68"/>
      <c r="BR38" s="68"/>
      <c r="BS38" s="68"/>
      <c r="BT38" s="68"/>
      <c r="BU38" s="68"/>
      <c r="BV38" s="68"/>
      <c r="BW38" s="68"/>
      <c r="BX38" s="68"/>
    </row>
    <row r="39" spans="1:76" x14ac:dyDescent="0.15">
      <c r="A39" s="119">
        <v>2034</v>
      </c>
      <c r="B39" s="120">
        <v>25.556223297599999</v>
      </c>
      <c r="C39" s="120">
        <v>101.574252</v>
      </c>
      <c r="D39" s="121">
        <f t="shared" si="0"/>
        <v>79.431319527543309</v>
      </c>
      <c r="E39" s="120">
        <v>67.44032802784659</v>
      </c>
      <c r="F39" s="122">
        <v>0.2993095349315068</v>
      </c>
      <c r="G39" s="132">
        <v>0.47103758561643833</v>
      </c>
      <c r="H39" s="124">
        <v>0.22965287945205479</v>
      </c>
      <c r="I39" s="103"/>
      <c r="J39" s="125">
        <f>B39*(1+Ass.!$M$30)</f>
        <v>25.556223297599999</v>
      </c>
      <c r="K39" s="126">
        <f>C39*(1+Ass.!$M$32)</f>
        <v>101.574252</v>
      </c>
      <c r="L39" s="126">
        <f t="shared" si="1"/>
        <v>79.431319527543309</v>
      </c>
      <c r="M39" s="126">
        <f t="shared" si="2"/>
        <v>79.431319527543309</v>
      </c>
      <c r="N39" s="127">
        <f>E39+Ass.!$M$33*(L39-D39)</f>
        <v>67.44032802784659</v>
      </c>
      <c r="O39" s="127">
        <f>MIN(1,MAX(0,F39+Ass.!$M$31))</f>
        <v>0.2993095349315068</v>
      </c>
      <c r="P39" s="127">
        <f t="shared" si="3"/>
        <v>0.47103758561643833</v>
      </c>
      <c r="Q39" s="128">
        <f t="shared" si="4"/>
        <v>0.22965287945205479</v>
      </c>
      <c r="R39" s="68"/>
      <c r="S39" s="68"/>
      <c r="T39" s="68"/>
      <c r="U39" s="68"/>
      <c r="V39" s="68"/>
      <c r="W39" s="68"/>
      <c r="X39" s="68"/>
      <c r="Y39" s="68"/>
      <c r="Z39" s="68"/>
      <c r="AA39" s="67"/>
      <c r="AB39" s="68"/>
      <c r="AC39" s="68"/>
      <c r="AD39" s="68"/>
      <c r="AE39" s="68"/>
      <c r="AF39" s="68"/>
      <c r="AG39" s="68"/>
      <c r="AH39" s="68"/>
      <c r="AI39" s="68"/>
      <c r="AJ39" s="68"/>
      <c r="AK39" s="67"/>
      <c r="AL39" s="68"/>
      <c r="AM39" s="68"/>
      <c r="AN39" s="68"/>
      <c r="AO39" s="68"/>
      <c r="AP39" s="68"/>
      <c r="AQ39" s="68"/>
      <c r="AR39" s="68"/>
      <c r="AS39" s="68"/>
      <c r="AT39" s="68"/>
      <c r="AU39" s="67"/>
      <c r="AV39" s="68"/>
      <c r="AW39" s="68"/>
      <c r="AX39" s="68"/>
      <c r="AY39" s="68"/>
      <c r="AZ39" s="68"/>
      <c r="BA39" s="68"/>
      <c r="BB39" s="68"/>
      <c r="BC39" s="68"/>
      <c r="BD39" s="68"/>
      <c r="BE39" s="67"/>
      <c r="BF39" s="68"/>
      <c r="BG39" s="68"/>
      <c r="BH39" s="68"/>
      <c r="BI39" s="68"/>
      <c r="BJ39" s="68"/>
      <c r="BK39" s="68"/>
      <c r="BL39" s="68"/>
      <c r="BM39" s="68"/>
      <c r="BN39" s="68"/>
      <c r="BO39" s="67"/>
      <c r="BP39" s="68"/>
      <c r="BQ39" s="68"/>
      <c r="BR39" s="68"/>
      <c r="BS39" s="68"/>
      <c r="BT39" s="68"/>
      <c r="BU39" s="68"/>
      <c r="BV39" s="68"/>
      <c r="BW39" s="68"/>
      <c r="BX39" s="68"/>
    </row>
    <row r="40" spans="1:76" x14ac:dyDescent="0.15">
      <c r="A40" s="119">
        <v>2035</v>
      </c>
      <c r="B40" s="120">
        <v>26.067347763552</v>
      </c>
      <c r="C40" s="120">
        <v>103.60573703999999</v>
      </c>
      <c r="D40" s="121">
        <f t="shared" si="0"/>
        <v>81.01994591809418</v>
      </c>
      <c r="E40" s="120">
        <v>71.383815725095175</v>
      </c>
      <c r="F40" s="122">
        <v>0.3099484945205479</v>
      </c>
      <c r="G40" s="132">
        <v>0.4648095082191781</v>
      </c>
      <c r="H40" s="124">
        <v>0.225241997260274</v>
      </c>
      <c r="I40" s="103"/>
      <c r="J40" s="125">
        <f>B40*(1+Ass.!$M$30)</f>
        <v>26.067347763552</v>
      </c>
      <c r="K40" s="126">
        <f>C40*(1+Ass.!$M$32)</f>
        <v>103.60573703999999</v>
      </c>
      <c r="L40" s="126">
        <f t="shared" si="1"/>
        <v>81.01994591809418</v>
      </c>
      <c r="M40" s="126">
        <f t="shared" si="2"/>
        <v>81.01994591809418</v>
      </c>
      <c r="N40" s="127">
        <f>E40+Ass.!$M$33*(L40-D40)</f>
        <v>71.383815725095175</v>
      </c>
      <c r="O40" s="127">
        <f>MIN(1,MAX(0,F40+Ass.!$M$31))</f>
        <v>0.3099484945205479</v>
      </c>
      <c r="P40" s="127">
        <f t="shared" si="3"/>
        <v>0.4648095082191781</v>
      </c>
      <c r="Q40" s="128">
        <f t="shared" si="4"/>
        <v>0.225241997260274</v>
      </c>
      <c r="R40" s="68"/>
      <c r="S40" s="68"/>
      <c r="T40" s="68"/>
      <c r="U40" s="68"/>
      <c r="V40" s="68"/>
      <c r="W40" s="68"/>
      <c r="X40" s="68"/>
      <c r="Y40" s="68"/>
      <c r="Z40" s="68"/>
      <c r="AA40" s="67"/>
      <c r="AB40" s="68"/>
      <c r="AC40" s="68"/>
      <c r="AD40" s="68"/>
      <c r="AE40" s="68"/>
      <c r="AF40" s="68"/>
      <c r="AG40" s="68"/>
      <c r="AH40" s="68"/>
      <c r="AI40" s="68"/>
      <c r="AJ40" s="68"/>
      <c r="AK40" s="67"/>
      <c r="AL40" s="68"/>
      <c r="AM40" s="68"/>
      <c r="AN40" s="68"/>
      <c r="AO40" s="68"/>
      <c r="AP40" s="68"/>
      <c r="AQ40" s="68"/>
      <c r="AR40" s="68"/>
      <c r="AS40" s="68"/>
      <c r="AT40" s="68"/>
      <c r="AU40" s="67"/>
      <c r="AV40" s="68"/>
      <c r="AW40" s="68"/>
      <c r="AX40" s="68"/>
      <c r="AY40" s="68"/>
      <c r="AZ40" s="68"/>
      <c r="BA40" s="68"/>
      <c r="BB40" s="68"/>
      <c r="BC40" s="68"/>
      <c r="BD40" s="68"/>
      <c r="BE40" s="67"/>
      <c r="BF40" s="68"/>
      <c r="BG40" s="68"/>
      <c r="BH40" s="68"/>
      <c r="BI40" s="68"/>
      <c r="BJ40" s="68"/>
      <c r="BK40" s="68"/>
      <c r="BL40" s="68"/>
      <c r="BM40" s="68"/>
      <c r="BN40" s="68"/>
      <c r="BO40" s="67"/>
      <c r="BP40" s="68"/>
      <c r="BQ40" s="68"/>
      <c r="BR40" s="68"/>
      <c r="BS40" s="68"/>
      <c r="BT40" s="68"/>
      <c r="BU40" s="68"/>
      <c r="BV40" s="68"/>
      <c r="BW40" s="68"/>
      <c r="BX40" s="68"/>
    </row>
    <row r="41" spans="1:76" x14ac:dyDescent="0.15">
      <c r="A41" s="119">
        <v>2036</v>
      </c>
      <c r="B41" s="120">
        <v>26.588694718823039</v>
      </c>
      <c r="C41" s="120">
        <v>105.6778517808</v>
      </c>
      <c r="D41" s="121">
        <f t="shared" si="0"/>
        <v>82.640344836456052</v>
      </c>
      <c r="E41" s="120">
        <v>72.996326701470323</v>
      </c>
      <c r="F41" s="122">
        <v>0.31019091188524578</v>
      </c>
      <c r="G41" s="132">
        <v>0.46512004439890708</v>
      </c>
      <c r="H41" s="124">
        <v>0.224689043715847</v>
      </c>
      <c r="I41" s="103"/>
      <c r="J41" s="125">
        <f>B41*(1+Ass.!$M$30)</f>
        <v>26.588694718823039</v>
      </c>
      <c r="K41" s="126">
        <f>C41*(1+Ass.!$M$32)</f>
        <v>105.6778517808</v>
      </c>
      <c r="L41" s="126">
        <f t="shared" si="1"/>
        <v>82.640344836456052</v>
      </c>
      <c r="M41" s="126">
        <f t="shared" si="2"/>
        <v>82.640344836456052</v>
      </c>
      <c r="N41" s="127">
        <f>E41+Ass.!$M$33*(L41-D41)</f>
        <v>72.996326701470323</v>
      </c>
      <c r="O41" s="127">
        <f>MIN(1,MAX(0,F41+Ass.!$M$31))</f>
        <v>0.31019091188524578</v>
      </c>
      <c r="P41" s="127">
        <f t="shared" si="3"/>
        <v>0.46512004439890708</v>
      </c>
      <c r="Q41" s="128">
        <f t="shared" si="4"/>
        <v>0.224689043715847</v>
      </c>
      <c r="R41" s="68"/>
      <c r="S41" s="68"/>
      <c r="T41" s="68"/>
      <c r="U41" s="68"/>
      <c r="V41" s="68"/>
      <c r="W41" s="68"/>
      <c r="X41" s="68"/>
      <c r="Y41" s="68"/>
      <c r="Z41" s="68"/>
      <c r="AA41" s="67"/>
      <c r="AB41" s="68"/>
      <c r="AC41" s="68"/>
      <c r="AD41" s="68"/>
      <c r="AE41" s="68"/>
      <c r="AF41" s="68"/>
      <c r="AG41" s="68"/>
      <c r="AH41" s="68"/>
      <c r="AI41" s="68"/>
      <c r="AJ41" s="68"/>
      <c r="AK41" s="67"/>
      <c r="AL41" s="68"/>
      <c r="AM41" s="68"/>
      <c r="AN41" s="68"/>
      <c r="AO41" s="68"/>
      <c r="AP41" s="68"/>
      <c r="AQ41" s="68"/>
      <c r="AR41" s="68"/>
      <c r="AS41" s="68"/>
      <c r="AT41" s="68"/>
      <c r="AU41" s="67"/>
      <c r="AV41" s="68"/>
      <c r="AW41" s="68"/>
      <c r="AX41" s="68"/>
      <c r="AY41" s="68"/>
      <c r="AZ41" s="68"/>
      <c r="BA41" s="68"/>
      <c r="BB41" s="68"/>
      <c r="BC41" s="68"/>
      <c r="BD41" s="68"/>
      <c r="BE41" s="67"/>
      <c r="BF41" s="68"/>
      <c r="BG41" s="68"/>
      <c r="BH41" s="68"/>
      <c r="BI41" s="68"/>
      <c r="BJ41" s="68"/>
      <c r="BK41" s="68"/>
      <c r="BL41" s="68"/>
      <c r="BM41" s="68"/>
      <c r="BN41" s="68"/>
      <c r="BO41" s="67"/>
      <c r="BP41" s="68"/>
      <c r="BQ41" s="68"/>
      <c r="BR41" s="68"/>
      <c r="BS41" s="68"/>
      <c r="BT41" s="68"/>
      <c r="BU41" s="68"/>
      <c r="BV41" s="68"/>
      <c r="BW41" s="68"/>
      <c r="BX41" s="68"/>
    </row>
    <row r="42" spans="1:76" x14ac:dyDescent="0.15">
      <c r="A42" s="119">
        <v>2037</v>
      </c>
      <c r="B42" s="120">
        <v>27.120468613199499</v>
      </c>
      <c r="C42" s="120">
        <v>107.79140881639999</v>
      </c>
      <c r="D42" s="121">
        <f t="shared" si="0"/>
        <v>84.293151733179599</v>
      </c>
      <c r="E42" s="120">
        <v>75.54846781538194</v>
      </c>
      <c r="F42" s="122">
        <v>0.30868462876712333</v>
      </c>
      <c r="G42" s="132">
        <v>0.46621767534246578</v>
      </c>
      <c r="H42" s="124">
        <v>0.22509769589041101</v>
      </c>
      <c r="I42" s="103"/>
      <c r="J42" s="125">
        <f>B42*(1+Ass.!$M$30)</f>
        <v>27.120468613199499</v>
      </c>
      <c r="K42" s="126">
        <f>C42*(1+Ass.!$M$32)</f>
        <v>107.79140881639999</v>
      </c>
      <c r="L42" s="126">
        <f t="shared" si="1"/>
        <v>84.293151733179599</v>
      </c>
      <c r="M42" s="126">
        <f t="shared" si="2"/>
        <v>84.293151733179599</v>
      </c>
      <c r="N42" s="127">
        <f>E42+Ass.!$M$33*(L42-D42)</f>
        <v>75.54846781538194</v>
      </c>
      <c r="O42" s="127">
        <f>MIN(1,MAX(0,F42+Ass.!$M$31))</f>
        <v>0.30868462876712333</v>
      </c>
      <c r="P42" s="127">
        <f t="shared" si="3"/>
        <v>0.46621767534246578</v>
      </c>
      <c r="Q42" s="128">
        <f t="shared" si="4"/>
        <v>0.22509769589041101</v>
      </c>
      <c r="R42" s="68"/>
      <c r="S42" s="68"/>
      <c r="T42" s="68"/>
      <c r="U42" s="68"/>
      <c r="V42" s="68"/>
      <c r="W42" s="68"/>
      <c r="X42" s="68"/>
      <c r="Y42" s="68"/>
      <c r="Z42" s="68"/>
      <c r="AA42" s="67"/>
      <c r="AB42" s="68"/>
      <c r="AC42" s="68"/>
      <c r="AD42" s="68"/>
      <c r="AE42" s="68"/>
      <c r="AF42" s="68"/>
      <c r="AG42" s="68"/>
      <c r="AH42" s="68"/>
      <c r="AI42" s="68"/>
      <c r="AJ42" s="68"/>
      <c r="AK42" s="67"/>
      <c r="AL42" s="68"/>
      <c r="AM42" s="68"/>
      <c r="AN42" s="68"/>
      <c r="AO42" s="68"/>
      <c r="AP42" s="68"/>
      <c r="AQ42" s="68"/>
      <c r="AR42" s="68"/>
      <c r="AS42" s="68"/>
      <c r="AT42" s="68"/>
      <c r="AU42" s="67"/>
      <c r="AV42" s="68"/>
      <c r="AW42" s="68"/>
      <c r="AX42" s="68"/>
      <c r="AY42" s="68"/>
      <c r="AZ42" s="68"/>
      <c r="BA42" s="68"/>
      <c r="BB42" s="68"/>
      <c r="BC42" s="68"/>
      <c r="BD42" s="68"/>
      <c r="BE42" s="67"/>
      <c r="BF42" s="68"/>
      <c r="BG42" s="68"/>
      <c r="BH42" s="68"/>
      <c r="BI42" s="68"/>
      <c r="BJ42" s="68"/>
      <c r="BK42" s="68"/>
      <c r="BL42" s="68"/>
      <c r="BM42" s="68"/>
      <c r="BN42" s="68"/>
      <c r="BO42" s="67"/>
      <c r="BP42" s="68"/>
      <c r="BQ42" s="68"/>
      <c r="BR42" s="68"/>
      <c r="BS42" s="68"/>
      <c r="BT42" s="68"/>
      <c r="BU42" s="68"/>
      <c r="BV42" s="68"/>
      <c r="BW42" s="68"/>
      <c r="BX42" s="68"/>
    </row>
    <row r="43" spans="1:76" x14ac:dyDescent="0.15">
      <c r="A43" s="119">
        <v>2038</v>
      </c>
      <c r="B43" s="120">
        <v>27.662877985463489</v>
      </c>
      <c r="C43" s="120">
        <v>109.9472369927</v>
      </c>
      <c r="D43" s="121">
        <f t="shared" si="0"/>
        <v>85.979014767833448</v>
      </c>
      <c r="E43" s="120">
        <v>76.342884574834457</v>
      </c>
      <c r="F43" s="122">
        <v>0.3099484945205479</v>
      </c>
      <c r="G43" s="132">
        <v>0.4648095082191781</v>
      </c>
      <c r="H43" s="124">
        <v>0.225241997260274</v>
      </c>
      <c r="I43" s="103"/>
      <c r="J43" s="125">
        <f>B43*(1+Ass.!$M$30)</f>
        <v>27.662877985463489</v>
      </c>
      <c r="K43" s="126">
        <f>C43*(1+Ass.!$M$32)</f>
        <v>109.9472369927</v>
      </c>
      <c r="L43" s="126">
        <f t="shared" si="1"/>
        <v>85.979014767833448</v>
      </c>
      <c r="M43" s="126">
        <f t="shared" si="2"/>
        <v>85.979014767833448</v>
      </c>
      <c r="N43" s="127">
        <f>E43+Ass.!$M$33*(L43-D43)</f>
        <v>76.342884574834457</v>
      </c>
      <c r="O43" s="127">
        <f>MIN(1,MAX(0,F43+Ass.!$M$31))</f>
        <v>0.3099484945205479</v>
      </c>
      <c r="P43" s="127">
        <f t="shared" si="3"/>
        <v>0.4648095082191781</v>
      </c>
      <c r="Q43" s="128">
        <f t="shared" si="4"/>
        <v>0.225241997260274</v>
      </c>
      <c r="R43" s="68"/>
      <c r="S43" s="68"/>
      <c r="T43" s="68"/>
      <c r="U43" s="68"/>
      <c r="V43" s="68"/>
      <c r="W43" s="68"/>
      <c r="X43" s="68"/>
      <c r="Y43" s="68"/>
      <c r="Z43" s="68"/>
      <c r="AA43" s="67"/>
      <c r="AB43" s="68"/>
      <c r="AC43" s="68"/>
      <c r="AD43" s="68"/>
      <c r="AE43" s="68"/>
      <c r="AF43" s="68"/>
      <c r="AG43" s="68"/>
      <c r="AH43" s="68"/>
      <c r="AI43" s="68"/>
      <c r="AJ43" s="68"/>
      <c r="AK43" s="67"/>
      <c r="AL43" s="68"/>
      <c r="AM43" s="68"/>
      <c r="AN43" s="68"/>
      <c r="AO43" s="68"/>
      <c r="AP43" s="68"/>
      <c r="AQ43" s="68"/>
      <c r="AR43" s="68"/>
      <c r="AS43" s="68"/>
      <c r="AT43" s="68"/>
      <c r="AU43" s="67"/>
      <c r="AV43" s="68"/>
      <c r="AW43" s="68"/>
      <c r="AX43" s="68"/>
      <c r="AY43" s="68"/>
      <c r="AZ43" s="68"/>
      <c r="BA43" s="68"/>
      <c r="BB43" s="68"/>
      <c r="BC43" s="68"/>
      <c r="BD43" s="68"/>
      <c r="BE43" s="67"/>
      <c r="BF43" s="68"/>
      <c r="BG43" s="68"/>
      <c r="BH43" s="68"/>
      <c r="BI43" s="68"/>
      <c r="BJ43" s="68"/>
      <c r="BK43" s="68"/>
      <c r="BL43" s="68"/>
      <c r="BM43" s="68"/>
      <c r="BN43" s="68"/>
      <c r="BO43" s="67"/>
      <c r="BP43" s="68"/>
      <c r="BQ43" s="68"/>
      <c r="BR43" s="68"/>
      <c r="BS43" s="68"/>
      <c r="BT43" s="68"/>
      <c r="BU43" s="68"/>
      <c r="BV43" s="68"/>
      <c r="BW43" s="68"/>
      <c r="BX43" s="68"/>
    </row>
    <row r="44" spans="1:76" x14ac:dyDescent="0.15">
      <c r="A44" s="119">
        <v>2039</v>
      </c>
      <c r="B44" s="120">
        <v>28.216135545172769</v>
      </c>
      <c r="C44" s="120">
        <v>112.1461817326</v>
      </c>
      <c r="D44" s="121">
        <f t="shared" si="0"/>
        <v>87.698595063206156</v>
      </c>
      <c r="E44" s="120">
        <v>75.707603563509437</v>
      </c>
      <c r="F44" s="122">
        <v>0.2993095349315068</v>
      </c>
      <c r="G44" s="132">
        <v>0.47103758561643833</v>
      </c>
      <c r="H44" s="124">
        <v>0.22965287945205479</v>
      </c>
      <c r="I44" s="103"/>
      <c r="J44" s="125">
        <f>B44*(1+Ass.!$M$30)</f>
        <v>28.216135545172769</v>
      </c>
      <c r="K44" s="126">
        <f>C44*(1+Ass.!$M$32)</f>
        <v>112.1461817326</v>
      </c>
      <c r="L44" s="126">
        <f t="shared" si="1"/>
        <v>87.698595063206156</v>
      </c>
      <c r="M44" s="126">
        <f t="shared" si="2"/>
        <v>87.698595063206156</v>
      </c>
      <c r="N44" s="127">
        <f>E44+Ass.!$M$33*(L44-D44)</f>
        <v>75.707603563509437</v>
      </c>
      <c r="O44" s="127">
        <f>MIN(1,MAX(0,F44+Ass.!$M$31))</f>
        <v>0.2993095349315068</v>
      </c>
      <c r="P44" s="127">
        <f t="shared" si="3"/>
        <v>0.47103758561643833</v>
      </c>
      <c r="Q44" s="128">
        <f t="shared" si="4"/>
        <v>0.22965287945205479</v>
      </c>
      <c r="R44" s="68"/>
      <c r="S44" s="68"/>
      <c r="T44" s="68"/>
      <c r="U44" s="68"/>
      <c r="V44" s="68"/>
      <c r="W44" s="68"/>
      <c r="X44" s="68"/>
      <c r="Y44" s="68"/>
      <c r="Z44" s="68"/>
      <c r="AA44" s="67"/>
      <c r="AB44" s="68"/>
      <c r="AC44" s="68"/>
      <c r="AD44" s="68"/>
      <c r="AE44" s="68"/>
      <c r="AF44" s="68"/>
      <c r="AG44" s="68"/>
      <c r="AH44" s="68"/>
      <c r="AI44" s="68"/>
      <c r="AJ44" s="68"/>
      <c r="AK44" s="67"/>
      <c r="AL44" s="68"/>
      <c r="AM44" s="68"/>
      <c r="AN44" s="68"/>
      <c r="AO44" s="68"/>
      <c r="AP44" s="68"/>
      <c r="AQ44" s="68"/>
      <c r="AR44" s="68"/>
      <c r="AS44" s="68"/>
      <c r="AT44" s="68"/>
      <c r="AU44" s="67"/>
      <c r="AV44" s="68"/>
      <c r="AW44" s="68"/>
      <c r="AX44" s="68"/>
      <c r="AY44" s="68"/>
      <c r="AZ44" s="68"/>
      <c r="BA44" s="68"/>
      <c r="BB44" s="68"/>
      <c r="BC44" s="68"/>
      <c r="BD44" s="68"/>
      <c r="BE44" s="67"/>
      <c r="BF44" s="68"/>
      <c r="BG44" s="68"/>
      <c r="BH44" s="68"/>
      <c r="BI44" s="68"/>
      <c r="BJ44" s="68"/>
      <c r="BK44" s="68"/>
      <c r="BL44" s="68"/>
      <c r="BM44" s="68"/>
      <c r="BN44" s="68"/>
      <c r="BO44" s="67"/>
      <c r="BP44" s="68"/>
      <c r="BQ44" s="68"/>
      <c r="BR44" s="68"/>
      <c r="BS44" s="68"/>
      <c r="BT44" s="68"/>
      <c r="BU44" s="68"/>
      <c r="BV44" s="68"/>
      <c r="BW44" s="68"/>
      <c r="BX44" s="68"/>
    </row>
    <row r="45" spans="1:76" x14ac:dyDescent="0.15">
      <c r="A45" s="119">
        <v>2040</v>
      </c>
      <c r="B45" s="120">
        <v>28.780458256076219</v>
      </c>
      <c r="C45" s="120">
        <v>114.3891053673</v>
      </c>
      <c r="D45" s="121">
        <f t="shared" si="0"/>
        <v>89.452566964486977</v>
      </c>
      <c r="E45" s="120">
        <v>79.57323140048976</v>
      </c>
      <c r="F45" s="122">
        <v>0.2952885669398907</v>
      </c>
      <c r="G45" s="132">
        <v>0.4510184603825137</v>
      </c>
      <c r="H45" s="124">
        <v>0.25369297267759572</v>
      </c>
      <c r="I45" s="103"/>
      <c r="J45" s="125">
        <f>B45*(1+Ass.!$M$30)</f>
        <v>28.780458256076219</v>
      </c>
      <c r="K45" s="126">
        <f>C45*(1+Ass.!$M$32)</f>
        <v>114.3891053673</v>
      </c>
      <c r="L45" s="126">
        <f t="shared" si="1"/>
        <v>89.452566964486977</v>
      </c>
      <c r="M45" s="126">
        <f t="shared" si="2"/>
        <v>89.452566964486977</v>
      </c>
      <c r="N45" s="127">
        <f>E45+Ass.!$M$33*(L45-D45)</f>
        <v>79.57323140048976</v>
      </c>
      <c r="O45" s="127">
        <f>MIN(1,MAX(0,F45+Ass.!$M$31))</f>
        <v>0.2952885669398907</v>
      </c>
      <c r="P45" s="127">
        <f t="shared" si="3"/>
        <v>0.4510184603825137</v>
      </c>
      <c r="Q45" s="128">
        <f t="shared" si="4"/>
        <v>0.25369297267759572</v>
      </c>
      <c r="R45" s="68"/>
      <c r="S45" s="68"/>
      <c r="T45" s="68"/>
      <c r="U45" s="68"/>
      <c r="V45" s="68"/>
      <c r="W45" s="68"/>
      <c r="X45" s="68"/>
      <c r="Y45" s="68"/>
      <c r="Z45" s="68"/>
      <c r="AA45" s="67"/>
      <c r="AB45" s="68"/>
      <c r="AC45" s="68"/>
      <c r="AD45" s="68"/>
      <c r="AE45" s="68"/>
      <c r="AF45" s="68"/>
      <c r="AG45" s="68"/>
      <c r="AH45" s="68"/>
      <c r="AI45" s="68"/>
      <c r="AJ45" s="68"/>
      <c r="AK45" s="67"/>
      <c r="AL45" s="68"/>
      <c r="AM45" s="68"/>
      <c r="AN45" s="68"/>
      <c r="AO45" s="68"/>
      <c r="AP45" s="68"/>
      <c r="AQ45" s="68"/>
      <c r="AR45" s="68"/>
      <c r="AS45" s="68"/>
      <c r="AT45" s="68"/>
      <c r="AU45" s="67"/>
      <c r="AV45" s="68"/>
      <c r="AW45" s="68"/>
      <c r="AX45" s="68"/>
      <c r="AY45" s="68"/>
      <c r="AZ45" s="68"/>
      <c r="BA45" s="68"/>
      <c r="BB45" s="68"/>
      <c r="BC45" s="68"/>
      <c r="BD45" s="68"/>
      <c r="BE45" s="67"/>
      <c r="BF45" s="68"/>
      <c r="BG45" s="68"/>
      <c r="BH45" s="68"/>
      <c r="BI45" s="68"/>
      <c r="BJ45" s="68"/>
      <c r="BK45" s="68"/>
      <c r="BL45" s="68"/>
      <c r="BM45" s="68"/>
      <c r="BN45" s="68"/>
      <c r="BO45" s="67"/>
      <c r="BP45" s="68"/>
      <c r="BQ45" s="68"/>
      <c r="BR45" s="68"/>
      <c r="BS45" s="68"/>
      <c r="BT45" s="68"/>
      <c r="BU45" s="68"/>
      <c r="BV45" s="68"/>
      <c r="BW45" s="68"/>
      <c r="BX45" s="68"/>
    </row>
    <row r="46" spans="1:76" x14ac:dyDescent="0.15">
      <c r="A46" s="119">
        <v>2041</v>
      </c>
      <c r="B46" s="120">
        <v>29.356067421197739</v>
      </c>
      <c r="C46" s="120">
        <v>116.67688747459999</v>
      </c>
      <c r="D46" s="121">
        <f t="shared" si="0"/>
        <v>91.241618303760703</v>
      </c>
      <c r="E46" s="120">
        <v>83.662764247951927</v>
      </c>
      <c r="F46" s="122">
        <v>0.29074789246575339</v>
      </c>
      <c r="G46" s="132">
        <v>0.43052238835616452</v>
      </c>
      <c r="H46" s="124">
        <v>0.2787297191780822</v>
      </c>
      <c r="I46" s="103"/>
      <c r="J46" s="125">
        <f>B46*(1+Ass.!$M$30)</f>
        <v>29.356067421197739</v>
      </c>
      <c r="K46" s="126">
        <f>C46*(1+Ass.!$M$32)</f>
        <v>116.67688747459999</v>
      </c>
      <c r="L46" s="126">
        <f t="shared" si="1"/>
        <v>91.241618303760703</v>
      </c>
      <c r="M46" s="126">
        <f t="shared" si="2"/>
        <v>91.241618303760703</v>
      </c>
      <c r="N46" s="127">
        <f>E46+Ass.!$M$33*(L46-D46)</f>
        <v>83.662764247951927</v>
      </c>
      <c r="O46" s="127">
        <f>MIN(1,MAX(0,F46+Ass.!$M$31))</f>
        <v>0.29074789246575339</v>
      </c>
      <c r="P46" s="127">
        <f t="shared" si="3"/>
        <v>0.43052238835616452</v>
      </c>
      <c r="Q46" s="128">
        <f t="shared" si="4"/>
        <v>0.2787297191780822</v>
      </c>
      <c r="R46" s="68"/>
      <c r="S46" s="68"/>
      <c r="T46" s="68"/>
      <c r="U46" s="68"/>
      <c r="V46" s="68"/>
      <c r="W46" s="68"/>
      <c r="X46" s="68"/>
      <c r="Y46" s="68"/>
      <c r="Z46" s="68"/>
      <c r="AA46" s="67"/>
      <c r="AB46" s="68"/>
      <c r="AC46" s="68"/>
      <c r="AD46" s="68"/>
      <c r="AE46" s="68"/>
      <c r="AF46" s="68"/>
      <c r="AG46" s="68"/>
      <c r="AH46" s="68"/>
      <c r="AI46" s="68"/>
      <c r="AJ46" s="68"/>
      <c r="AK46" s="67"/>
      <c r="AL46" s="68"/>
      <c r="AM46" s="68"/>
      <c r="AN46" s="68"/>
      <c r="AO46" s="68"/>
      <c r="AP46" s="68"/>
      <c r="AQ46" s="68"/>
      <c r="AR46" s="68"/>
      <c r="AS46" s="68"/>
      <c r="AT46" s="68"/>
      <c r="AU46" s="67"/>
      <c r="AV46" s="68"/>
      <c r="AW46" s="68"/>
      <c r="AX46" s="68"/>
      <c r="AY46" s="68"/>
      <c r="AZ46" s="68"/>
      <c r="BA46" s="68"/>
      <c r="BB46" s="68"/>
      <c r="BC46" s="68"/>
      <c r="BD46" s="68"/>
      <c r="BE46" s="67"/>
      <c r="BF46" s="68"/>
      <c r="BG46" s="68"/>
      <c r="BH46" s="68"/>
      <c r="BI46" s="68"/>
      <c r="BJ46" s="68"/>
      <c r="BK46" s="68"/>
      <c r="BL46" s="68"/>
      <c r="BM46" s="68"/>
      <c r="BN46" s="68"/>
      <c r="BO46" s="67"/>
      <c r="BP46" s="68"/>
      <c r="BQ46" s="68"/>
      <c r="BR46" s="68"/>
      <c r="BS46" s="68"/>
      <c r="BT46" s="68"/>
      <c r="BU46" s="68"/>
      <c r="BV46" s="68"/>
      <c r="BW46" s="68"/>
      <c r="BX46" s="68"/>
    </row>
    <row r="47" spans="1:76" x14ac:dyDescent="0.15">
      <c r="A47" s="119">
        <v>2042</v>
      </c>
      <c r="B47" s="120">
        <v>29.943188769621699</v>
      </c>
      <c r="C47" s="120">
        <v>119.0104252241</v>
      </c>
      <c r="D47" s="121">
        <f t="shared" si="0"/>
        <v>93.066450669838702</v>
      </c>
      <c r="E47" s="120">
        <v>85.487596614029925</v>
      </c>
      <c r="F47" s="122">
        <v>0.29074789246575339</v>
      </c>
      <c r="G47" s="132">
        <v>0.43052238835616452</v>
      </c>
      <c r="H47" s="124">
        <v>0.2787297191780822</v>
      </c>
      <c r="I47" s="103"/>
      <c r="J47" s="125">
        <f>B47*(1+Ass.!$M$30)</f>
        <v>29.943188769621699</v>
      </c>
      <c r="K47" s="126">
        <f>C47*(1+Ass.!$M$32)</f>
        <v>119.0104252241</v>
      </c>
      <c r="L47" s="126">
        <f t="shared" si="1"/>
        <v>93.066450669838702</v>
      </c>
      <c r="M47" s="126">
        <f t="shared" si="2"/>
        <v>93.066450669838702</v>
      </c>
      <c r="N47" s="127">
        <f>E47+Ass.!$M$33*(L47-D47)</f>
        <v>85.487596614029925</v>
      </c>
      <c r="O47" s="127">
        <f>MIN(1,MAX(0,F47+Ass.!$M$31))</f>
        <v>0.29074789246575339</v>
      </c>
      <c r="P47" s="127">
        <f t="shared" si="3"/>
        <v>0.43052238835616452</v>
      </c>
      <c r="Q47" s="128">
        <f t="shared" si="4"/>
        <v>0.2787297191780822</v>
      </c>
      <c r="R47" s="68"/>
      <c r="S47" s="68"/>
      <c r="T47" s="68"/>
      <c r="U47" s="68"/>
      <c r="V47" s="68"/>
      <c r="W47" s="68"/>
      <c r="X47" s="68"/>
      <c r="Y47" s="68"/>
      <c r="Z47" s="68"/>
      <c r="AA47" s="67"/>
      <c r="AB47" s="68"/>
      <c r="AC47" s="68"/>
      <c r="AD47" s="68"/>
      <c r="AE47" s="68"/>
      <c r="AF47" s="68"/>
      <c r="AG47" s="68"/>
      <c r="AH47" s="68"/>
      <c r="AI47" s="68"/>
      <c r="AJ47" s="68"/>
      <c r="AK47" s="67"/>
      <c r="AL47" s="68"/>
      <c r="AM47" s="68"/>
      <c r="AN47" s="68"/>
      <c r="AO47" s="68"/>
      <c r="AP47" s="68"/>
      <c r="AQ47" s="68"/>
      <c r="AR47" s="68"/>
      <c r="AS47" s="68"/>
      <c r="AT47" s="68"/>
      <c r="AU47" s="67"/>
      <c r="AV47" s="68"/>
      <c r="AW47" s="68"/>
      <c r="AX47" s="68"/>
      <c r="AY47" s="68"/>
      <c r="AZ47" s="68"/>
      <c r="BA47" s="68"/>
      <c r="BB47" s="68"/>
      <c r="BC47" s="68"/>
      <c r="BD47" s="68"/>
      <c r="BE47" s="67"/>
      <c r="BF47" s="68"/>
      <c r="BG47" s="68"/>
      <c r="BH47" s="68"/>
      <c r="BI47" s="68"/>
      <c r="BJ47" s="68"/>
      <c r="BK47" s="68"/>
      <c r="BL47" s="68"/>
      <c r="BM47" s="68"/>
      <c r="BN47" s="68"/>
      <c r="BO47" s="67"/>
      <c r="BP47" s="68"/>
      <c r="BQ47" s="68"/>
      <c r="BR47" s="68"/>
      <c r="BS47" s="68"/>
      <c r="BT47" s="68"/>
      <c r="BU47" s="68"/>
      <c r="BV47" s="68"/>
      <c r="BW47" s="68"/>
      <c r="BX47" s="68"/>
    </row>
    <row r="48" spans="1:76" x14ac:dyDescent="0.15">
      <c r="A48" s="119">
        <v>2043</v>
      </c>
      <c r="B48" s="120">
        <v>30.54205254501414</v>
      </c>
      <c r="C48" s="120">
        <v>121.39063372859999</v>
      </c>
      <c r="D48" s="121">
        <f t="shared" si="0"/>
        <v>94.927779683241766</v>
      </c>
      <c r="E48" s="120">
        <v>86.387151346656651</v>
      </c>
      <c r="F48" s="122">
        <v>0.29201175821917807</v>
      </c>
      <c r="G48" s="132">
        <v>0.42911422123287668</v>
      </c>
      <c r="H48" s="124">
        <v>0.27887402054794519</v>
      </c>
      <c r="I48" s="103"/>
      <c r="J48" s="125">
        <f>B48*(1+Ass.!$M$30)</f>
        <v>30.54205254501414</v>
      </c>
      <c r="K48" s="126">
        <f>C48*(1+Ass.!$M$32)</f>
        <v>121.39063372859999</v>
      </c>
      <c r="L48" s="126">
        <f t="shared" si="1"/>
        <v>94.927779683241766</v>
      </c>
      <c r="M48" s="126">
        <f t="shared" si="2"/>
        <v>94.927779683241766</v>
      </c>
      <c r="N48" s="127">
        <f>E48+Ass.!$M$33*(L48-D48)</f>
        <v>86.387151346656651</v>
      </c>
      <c r="O48" s="127">
        <f>MIN(1,MAX(0,F48+Ass.!$M$31))</f>
        <v>0.29201175821917807</v>
      </c>
      <c r="P48" s="127">
        <f t="shared" si="3"/>
        <v>0.42911422123287668</v>
      </c>
      <c r="Q48" s="128">
        <f t="shared" si="4"/>
        <v>0.27887402054794519</v>
      </c>
      <c r="R48" s="68"/>
      <c r="S48" s="68"/>
      <c r="T48" s="68"/>
      <c r="U48" s="68"/>
      <c r="V48" s="68"/>
      <c r="W48" s="68"/>
      <c r="X48" s="68"/>
      <c r="Y48" s="68"/>
      <c r="Z48" s="68"/>
      <c r="AA48" s="67"/>
      <c r="AB48" s="68"/>
      <c r="AC48" s="68"/>
      <c r="AD48" s="68"/>
      <c r="AE48" s="68"/>
      <c r="AF48" s="68"/>
      <c r="AG48" s="68"/>
      <c r="AH48" s="68"/>
      <c r="AI48" s="68"/>
      <c r="AJ48" s="68"/>
      <c r="AK48" s="67"/>
      <c r="AL48" s="68"/>
      <c r="AM48" s="68"/>
      <c r="AN48" s="68"/>
      <c r="AO48" s="68"/>
      <c r="AP48" s="68"/>
      <c r="AQ48" s="68"/>
      <c r="AR48" s="68"/>
      <c r="AS48" s="68"/>
      <c r="AT48" s="68"/>
      <c r="AU48" s="67"/>
      <c r="AV48" s="68"/>
      <c r="AW48" s="68"/>
      <c r="AX48" s="68"/>
      <c r="AY48" s="68"/>
      <c r="AZ48" s="68"/>
      <c r="BA48" s="68"/>
      <c r="BB48" s="68"/>
      <c r="BC48" s="68"/>
      <c r="BD48" s="68"/>
      <c r="BE48" s="67"/>
      <c r="BF48" s="68"/>
      <c r="BG48" s="68"/>
      <c r="BH48" s="68"/>
      <c r="BI48" s="68"/>
      <c r="BJ48" s="68"/>
      <c r="BK48" s="68"/>
      <c r="BL48" s="68"/>
      <c r="BM48" s="68"/>
      <c r="BN48" s="68"/>
      <c r="BO48" s="67"/>
      <c r="BP48" s="68"/>
      <c r="BQ48" s="68"/>
      <c r="BR48" s="68"/>
      <c r="BS48" s="68"/>
      <c r="BT48" s="68"/>
      <c r="BU48" s="68"/>
      <c r="BV48" s="68"/>
      <c r="BW48" s="68"/>
      <c r="BX48" s="68"/>
    </row>
    <row r="49" spans="1:76" x14ac:dyDescent="0.15">
      <c r="A49" s="119">
        <v>2044</v>
      </c>
      <c r="B49" s="120">
        <v>31.152893595914421</v>
      </c>
      <c r="C49" s="120">
        <v>123.8184464031</v>
      </c>
      <c r="D49" s="121">
        <f t="shared" si="0"/>
        <v>96.826335276881522</v>
      </c>
      <c r="E49" s="120">
        <v>85.718994905958951</v>
      </c>
      <c r="F49" s="122">
        <v>0.28169329166666668</v>
      </c>
      <c r="G49" s="132">
        <v>0.43573334631147548</v>
      </c>
      <c r="H49" s="124">
        <v>0.28257336202185801</v>
      </c>
      <c r="I49" s="103"/>
      <c r="J49" s="125">
        <f>B49*(1+Ass.!$M$30)</f>
        <v>31.152893595914421</v>
      </c>
      <c r="K49" s="126">
        <f>C49*(1+Ass.!$M$32)</f>
        <v>123.8184464031</v>
      </c>
      <c r="L49" s="126">
        <f t="shared" si="1"/>
        <v>96.826335276881522</v>
      </c>
      <c r="M49" s="126">
        <f t="shared" si="2"/>
        <v>96.826335276881522</v>
      </c>
      <c r="N49" s="127">
        <f>E49+Ass.!$M$33*(L49-D49)</f>
        <v>85.718994905958951</v>
      </c>
      <c r="O49" s="127">
        <f>MIN(1,MAX(0,F49+Ass.!$M$31))</f>
        <v>0.28169329166666668</v>
      </c>
      <c r="P49" s="127">
        <f t="shared" si="3"/>
        <v>0.43573334631147548</v>
      </c>
      <c r="Q49" s="128">
        <f t="shared" si="4"/>
        <v>0.28257336202185801</v>
      </c>
      <c r="R49" s="68"/>
      <c r="S49" s="68"/>
      <c r="T49" s="68"/>
      <c r="U49" s="68"/>
      <c r="V49" s="68"/>
      <c r="W49" s="68"/>
      <c r="X49" s="68"/>
      <c r="Y49" s="68"/>
      <c r="Z49" s="68"/>
      <c r="AA49" s="67"/>
      <c r="AB49" s="68"/>
      <c r="AC49" s="68"/>
      <c r="AD49" s="68"/>
      <c r="AE49" s="68"/>
      <c r="AF49" s="68"/>
      <c r="AG49" s="68"/>
      <c r="AH49" s="68"/>
      <c r="AI49" s="68"/>
      <c r="AJ49" s="68"/>
      <c r="AK49" s="67"/>
      <c r="AL49" s="68"/>
      <c r="AM49" s="68"/>
      <c r="AN49" s="68"/>
      <c r="AO49" s="68"/>
      <c r="AP49" s="68"/>
      <c r="AQ49" s="68"/>
      <c r="AR49" s="68"/>
      <c r="AS49" s="68"/>
      <c r="AT49" s="68"/>
      <c r="AU49" s="67"/>
      <c r="AV49" s="68"/>
      <c r="AW49" s="68"/>
      <c r="AX49" s="68"/>
      <c r="AY49" s="68"/>
      <c r="AZ49" s="68"/>
      <c r="BA49" s="68"/>
      <c r="BB49" s="68"/>
      <c r="BC49" s="68"/>
      <c r="BD49" s="68"/>
      <c r="BE49" s="67"/>
      <c r="BF49" s="68"/>
      <c r="BG49" s="68"/>
      <c r="BH49" s="68"/>
      <c r="BI49" s="68"/>
      <c r="BJ49" s="68"/>
      <c r="BK49" s="68"/>
      <c r="BL49" s="68"/>
      <c r="BM49" s="68"/>
      <c r="BN49" s="68"/>
      <c r="BO49" s="67"/>
      <c r="BP49" s="68"/>
      <c r="BQ49" s="68"/>
      <c r="BR49" s="68"/>
      <c r="BS49" s="68"/>
      <c r="BT49" s="68"/>
      <c r="BU49" s="68"/>
      <c r="BV49" s="68"/>
      <c r="BW49" s="68"/>
      <c r="BX49" s="68"/>
    </row>
    <row r="50" spans="1:76" x14ac:dyDescent="0.15">
      <c r="A50" s="119">
        <v>2045</v>
      </c>
      <c r="B50" s="120">
        <v>31.775951467832709</v>
      </c>
      <c r="C50" s="120">
        <v>126.2948153312</v>
      </c>
      <c r="D50" s="121">
        <f t="shared" si="0"/>
        <v>98.762861982432383</v>
      </c>
      <c r="E50" s="120">
        <v>86.734292443189261</v>
      </c>
      <c r="F50" s="122">
        <v>0.28273983835616451</v>
      </c>
      <c r="G50" s="132">
        <v>0.43388099726027402</v>
      </c>
      <c r="H50" s="124">
        <v>0.28337916438356159</v>
      </c>
      <c r="I50" s="103"/>
      <c r="J50" s="125">
        <f>B50*(1+Ass.!$M$30)</f>
        <v>31.775951467832709</v>
      </c>
      <c r="K50" s="126">
        <f>C50*(1+Ass.!$M$32)</f>
        <v>126.2948153312</v>
      </c>
      <c r="L50" s="126">
        <f t="shared" si="1"/>
        <v>98.762861982432383</v>
      </c>
      <c r="M50" s="126">
        <f t="shared" si="2"/>
        <v>98.762861982432383</v>
      </c>
      <c r="N50" s="127">
        <f>E50+Ass.!$M$33*(L50-D50)</f>
        <v>86.734292443189261</v>
      </c>
      <c r="O50" s="127">
        <f>MIN(1,MAX(0,F50+Ass.!$M$31))</f>
        <v>0.28273983835616451</v>
      </c>
      <c r="P50" s="127">
        <f t="shared" si="3"/>
        <v>0.43388099726027402</v>
      </c>
      <c r="Q50" s="128">
        <f t="shared" si="4"/>
        <v>0.28337916438356159</v>
      </c>
      <c r="R50" s="68"/>
      <c r="S50" s="68"/>
      <c r="T50" s="68"/>
      <c r="U50" s="68"/>
      <c r="V50" s="68"/>
      <c r="W50" s="68"/>
      <c r="X50" s="68"/>
      <c r="Y50" s="68"/>
      <c r="Z50" s="68"/>
      <c r="AA50" s="67"/>
      <c r="AB50" s="68"/>
      <c r="AC50" s="68"/>
      <c r="AD50" s="68"/>
      <c r="AE50" s="68"/>
      <c r="AF50" s="68"/>
      <c r="AG50" s="68"/>
      <c r="AH50" s="68"/>
      <c r="AI50" s="68"/>
      <c r="AJ50" s="68"/>
      <c r="AK50" s="67"/>
      <c r="AL50" s="68"/>
      <c r="AM50" s="68"/>
      <c r="AN50" s="68"/>
      <c r="AO50" s="68"/>
      <c r="AP50" s="68"/>
      <c r="AQ50" s="68"/>
      <c r="AR50" s="68"/>
      <c r="AS50" s="68"/>
      <c r="AT50" s="68"/>
      <c r="AU50" s="67"/>
      <c r="AV50" s="68"/>
      <c r="AW50" s="68"/>
      <c r="AX50" s="68"/>
      <c r="AY50" s="68"/>
      <c r="AZ50" s="68"/>
      <c r="BA50" s="68"/>
      <c r="BB50" s="68"/>
      <c r="BC50" s="68"/>
      <c r="BD50" s="68"/>
      <c r="BE50" s="67"/>
      <c r="BF50" s="68"/>
      <c r="BG50" s="68"/>
      <c r="BH50" s="68"/>
      <c r="BI50" s="68"/>
      <c r="BJ50" s="68"/>
      <c r="BK50" s="68"/>
      <c r="BL50" s="68"/>
      <c r="BM50" s="68"/>
      <c r="BN50" s="68"/>
      <c r="BO50" s="67"/>
      <c r="BP50" s="68"/>
      <c r="BQ50" s="68"/>
      <c r="BR50" s="68"/>
      <c r="BS50" s="68"/>
      <c r="BT50" s="68"/>
      <c r="BU50" s="68"/>
      <c r="BV50" s="68"/>
      <c r="BW50" s="68"/>
      <c r="BX50" s="68"/>
    </row>
    <row r="51" spans="1:76" x14ac:dyDescent="0.15">
      <c r="A51" s="119">
        <v>2046</v>
      </c>
      <c r="B51" s="120">
        <v>32.411470497189363</v>
      </c>
      <c r="C51" s="120">
        <v>128.8207116378</v>
      </c>
      <c r="D51" s="121">
        <f t="shared" si="0"/>
        <v>100.73811922207267</v>
      </c>
      <c r="E51" s="120">
        <v>88.709549682800002</v>
      </c>
      <c r="F51" s="122">
        <v>0.28273983835616451</v>
      </c>
      <c r="G51" s="132">
        <v>0.43388099726027402</v>
      </c>
      <c r="H51" s="124">
        <v>0.28337916438356159</v>
      </c>
      <c r="I51" s="103"/>
      <c r="J51" s="125">
        <f>B51*(1+Ass.!$M$30)</f>
        <v>32.411470497189363</v>
      </c>
      <c r="K51" s="126">
        <f>C51*(1+Ass.!$M$32)</f>
        <v>128.8207116378</v>
      </c>
      <c r="L51" s="126">
        <f t="shared" si="1"/>
        <v>100.73811922207267</v>
      </c>
      <c r="M51" s="126">
        <f t="shared" si="2"/>
        <v>100.73811922207267</v>
      </c>
      <c r="N51" s="127">
        <f>E51+Ass.!$M$33*(L51-D51)</f>
        <v>88.709549682800002</v>
      </c>
      <c r="O51" s="127">
        <f>MIN(1,MAX(0,F51+Ass.!$M$31))</f>
        <v>0.28273983835616451</v>
      </c>
      <c r="P51" s="127">
        <f t="shared" si="3"/>
        <v>0.43388099726027402</v>
      </c>
      <c r="Q51" s="128">
        <f t="shared" si="4"/>
        <v>0.28337916438356159</v>
      </c>
      <c r="R51" s="68"/>
      <c r="S51" s="68"/>
      <c r="T51" s="68"/>
      <c r="U51" s="68"/>
      <c r="V51" s="68"/>
      <c r="W51" s="68"/>
      <c r="X51" s="68"/>
      <c r="Y51" s="68"/>
      <c r="Z51" s="68"/>
      <c r="AA51" s="67"/>
      <c r="AB51" s="68"/>
      <c r="AC51" s="68"/>
      <c r="AD51" s="68"/>
      <c r="AE51" s="68"/>
      <c r="AF51" s="68"/>
      <c r="AG51" s="68"/>
      <c r="AH51" s="68"/>
      <c r="AI51" s="68"/>
      <c r="AJ51" s="68"/>
      <c r="AK51" s="67"/>
      <c r="AL51" s="68"/>
      <c r="AM51" s="68"/>
      <c r="AN51" s="68"/>
      <c r="AO51" s="68"/>
      <c r="AP51" s="68"/>
      <c r="AQ51" s="68"/>
      <c r="AR51" s="68"/>
      <c r="AS51" s="68"/>
      <c r="AT51" s="68"/>
      <c r="AU51" s="67"/>
      <c r="AV51" s="68"/>
      <c r="AW51" s="68"/>
      <c r="AX51" s="68"/>
      <c r="AY51" s="68"/>
      <c r="AZ51" s="68"/>
      <c r="BA51" s="68"/>
      <c r="BB51" s="68"/>
      <c r="BC51" s="68"/>
      <c r="BD51" s="68"/>
      <c r="BE51" s="67"/>
      <c r="BF51" s="68"/>
      <c r="BG51" s="68"/>
      <c r="BH51" s="68"/>
      <c r="BI51" s="68"/>
      <c r="BJ51" s="68"/>
      <c r="BK51" s="68"/>
      <c r="BL51" s="68"/>
      <c r="BM51" s="68"/>
      <c r="BN51" s="68"/>
      <c r="BO51" s="67"/>
      <c r="BP51" s="68"/>
      <c r="BQ51" s="68"/>
      <c r="BR51" s="68"/>
      <c r="BS51" s="68"/>
      <c r="BT51" s="68"/>
      <c r="BU51" s="68"/>
      <c r="BV51" s="68"/>
      <c r="BW51" s="68"/>
      <c r="BX51" s="68"/>
    </row>
    <row r="52" spans="1:76" x14ac:dyDescent="0.15">
      <c r="A52" s="119">
        <v>2047</v>
      </c>
      <c r="B52" s="120">
        <v>33.059699907133151</v>
      </c>
      <c r="C52" s="120">
        <v>131.39712587060001</v>
      </c>
      <c r="D52" s="121">
        <f t="shared" si="0"/>
        <v>102.75288160652946</v>
      </c>
      <c r="E52" s="120">
        <v>90.724312067300005</v>
      </c>
      <c r="F52" s="122">
        <v>0.28273983835616451</v>
      </c>
      <c r="G52" s="132">
        <v>0.43388099726027402</v>
      </c>
      <c r="H52" s="124">
        <v>0.28337916438356159</v>
      </c>
      <c r="I52" s="103"/>
      <c r="J52" s="125">
        <f>B52*(1+Ass.!$M$30)</f>
        <v>33.059699907133151</v>
      </c>
      <c r="K52" s="126">
        <f>C52*(1+Ass.!$M$32)</f>
        <v>131.39712587060001</v>
      </c>
      <c r="L52" s="126">
        <f t="shared" si="1"/>
        <v>102.75288160652946</v>
      </c>
      <c r="M52" s="126">
        <f t="shared" si="2"/>
        <v>102.75288160652946</v>
      </c>
      <c r="N52" s="127">
        <f>E52+Ass.!$M$33*(L52-D52)</f>
        <v>90.724312067300005</v>
      </c>
      <c r="O52" s="127">
        <f>MIN(1,MAX(0,F52+Ass.!$M$31))</f>
        <v>0.28273983835616451</v>
      </c>
      <c r="P52" s="127">
        <f t="shared" si="3"/>
        <v>0.43388099726027402</v>
      </c>
      <c r="Q52" s="128">
        <f t="shared" si="4"/>
        <v>0.28337916438356159</v>
      </c>
      <c r="R52" s="68"/>
      <c r="S52" s="68"/>
      <c r="T52" s="68"/>
      <c r="U52" s="68"/>
      <c r="V52" s="68"/>
      <c r="W52" s="68"/>
      <c r="X52" s="68"/>
      <c r="Y52" s="68"/>
      <c r="Z52" s="68"/>
      <c r="AA52" s="67"/>
      <c r="AB52" s="68"/>
      <c r="AC52" s="68"/>
      <c r="AD52" s="68"/>
      <c r="AE52" s="68"/>
      <c r="AF52" s="68"/>
      <c r="AG52" s="68"/>
      <c r="AH52" s="68"/>
      <c r="AI52" s="68"/>
      <c r="AJ52" s="68"/>
      <c r="AK52" s="67"/>
      <c r="AL52" s="68"/>
      <c r="AM52" s="68"/>
      <c r="AN52" s="68"/>
      <c r="AO52" s="68"/>
      <c r="AP52" s="68"/>
      <c r="AQ52" s="68"/>
      <c r="AR52" s="68"/>
      <c r="AS52" s="68"/>
      <c r="AT52" s="68"/>
      <c r="AU52" s="67"/>
      <c r="AV52" s="68"/>
      <c r="AW52" s="68"/>
      <c r="AX52" s="68"/>
      <c r="AY52" s="68"/>
      <c r="AZ52" s="68"/>
      <c r="BA52" s="68"/>
      <c r="BB52" s="68"/>
      <c r="BC52" s="68"/>
      <c r="BD52" s="68"/>
      <c r="BE52" s="67"/>
      <c r="BF52" s="68"/>
      <c r="BG52" s="68"/>
      <c r="BH52" s="68"/>
      <c r="BI52" s="68"/>
      <c r="BJ52" s="68"/>
      <c r="BK52" s="68"/>
      <c r="BL52" s="68"/>
      <c r="BM52" s="68"/>
      <c r="BN52" s="68"/>
      <c r="BO52" s="67"/>
      <c r="BP52" s="68"/>
      <c r="BQ52" s="68"/>
      <c r="BR52" s="68"/>
      <c r="BS52" s="68"/>
      <c r="BT52" s="68"/>
      <c r="BU52" s="68"/>
      <c r="BV52" s="68"/>
      <c r="BW52" s="68"/>
      <c r="BX52" s="68"/>
    </row>
    <row r="53" spans="1:76" x14ac:dyDescent="0.15">
      <c r="A53" s="119">
        <v>2048</v>
      </c>
      <c r="B53" s="120">
        <v>33.720893905275823</v>
      </c>
      <c r="C53" s="120">
        <v>134.02506838799999</v>
      </c>
      <c r="D53" s="121">
        <f t="shared" si="0"/>
        <v>104.80793923865588</v>
      </c>
      <c r="E53" s="120">
        <v>92.779369699399993</v>
      </c>
      <c r="F53" s="122">
        <v>0.28273983835616451</v>
      </c>
      <c r="G53" s="132">
        <v>0.43388099726027402</v>
      </c>
      <c r="H53" s="124">
        <v>0.28337916438356159</v>
      </c>
      <c r="I53" s="103"/>
      <c r="J53" s="125">
        <f>B53*(1+Ass.!$M$30)</f>
        <v>33.720893905275823</v>
      </c>
      <c r="K53" s="126">
        <f>C53*(1+Ass.!$M$32)</f>
        <v>134.02506838799999</v>
      </c>
      <c r="L53" s="126">
        <f t="shared" si="1"/>
        <v>104.80793923865588</v>
      </c>
      <c r="M53" s="126">
        <f t="shared" si="2"/>
        <v>104.80793923865588</v>
      </c>
      <c r="N53" s="127">
        <f>E53+Ass.!$M$33*(L53-D53)</f>
        <v>92.779369699399993</v>
      </c>
      <c r="O53" s="127">
        <f>MIN(1,MAX(0,F53+Ass.!$M$31))</f>
        <v>0.28273983835616451</v>
      </c>
      <c r="P53" s="127">
        <f t="shared" si="3"/>
        <v>0.43388099726027402</v>
      </c>
      <c r="Q53" s="128">
        <f t="shared" si="4"/>
        <v>0.28337916438356159</v>
      </c>
      <c r="R53" s="68"/>
      <c r="S53" s="68"/>
      <c r="T53" s="68"/>
      <c r="U53" s="68"/>
      <c r="V53" s="68"/>
      <c r="W53" s="68"/>
      <c r="X53" s="68"/>
      <c r="Y53" s="68"/>
      <c r="Z53" s="68"/>
      <c r="AA53" s="67"/>
      <c r="AB53" s="68"/>
      <c r="AC53" s="68"/>
      <c r="AD53" s="68"/>
      <c r="AE53" s="68"/>
      <c r="AF53" s="68"/>
      <c r="AG53" s="68"/>
      <c r="AH53" s="68"/>
      <c r="AI53" s="68"/>
      <c r="AJ53" s="68"/>
      <c r="AK53" s="67"/>
      <c r="AL53" s="68"/>
      <c r="AM53" s="68"/>
      <c r="AN53" s="68"/>
      <c r="AO53" s="68"/>
      <c r="AP53" s="68"/>
      <c r="AQ53" s="68"/>
      <c r="AR53" s="68"/>
      <c r="AS53" s="68"/>
      <c r="AT53" s="68"/>
      <c r="AU53" s="67"/>
      <c r="AV53" s="68"/>
      <c r="AW53" s="68"/>
      <c r="AX53" s="68"/>
      <c r="AY53" s="68"/>
      <c r="AZ53" s="68"/>
      <c r="BA53" s="68"/>
      <c r="BB53" s="68"/>
      <c r="BC53" s="68"/>
      <c r="BD53" s="68"/>
      <c r="BE53" s="67"/>
      <c r="BF53" s="68"/>
      <c r="BG53" s="68"/>
      <c r="BH53" s="68"/>
      <c r="BI53" s="68"/>
      <c r="BJ53" s="68"/>
      <c r="BK53" s="68"/>
      <c r="BL53" s="68"/>
      <c r="BM53" s="68"/>
      <c r="BN53" s="68"/>
      <c r="BO53" s="67"/>
      <c r="BP53" s="68"/>
      <c r="BQ53" s="68"/>
      <c r="BR53" s="68"/>
      <c r="BS53" s="68"/>
      <c r="BT53" s="68"/>
      <c r="BU53" s="68"/>
      <c r="BV53" s="68"/>
      <c r="BW53" s="68"/>
      <c r="BX53" s="68"/>
    </row>
    <row r="54" spans="1:76" x14ac:dyDescent="0.15">
      <c r="A54" s="119">
        <v>2049</v>
      </c>
      <c r="B54" s="120">
        <v>34.395311783381331</v>
      </c>
      <c r="C54" s="120">
        <v>136.70556975580001</v>
      </c>
      <c r="D54" s="121">
        <f t="shared" si="0"/>
        <v>106.90409802344291</v>
      </c>
      <c r="E54" s="120">
        <v>94.875528484200004</v>
      </c>
      <c r="F54" s="122">
        <v>0.28273983835616451</v>
      </c>
      <c r="G54" s="132">
        <v>0.43388099726027402</v>
      </c>
      <c r="H54" s="124">
        <v>0.28337916438356159</v>
      </c>
      <c r="I54" s="103"/>
      <c r="J54" s="125">
        <f>B54*(1+Ass.!$M$30)</f>
        <v>34.395311783381331</v>
      </c>
      <c r="K54" s="126">
        <f>C54*(1+Ass.!$M$32)</f>
        <v>136.70556975580001</v>
      </c>
      <c r="L54" s="126">
        <f t="shared" si="1"/>
        <v>106.90409802344291</v>
      </c>
      <c r="M54" s="126">
        <f t="shared" si="2"/>
        <v>106.90409802344291</v>
      </c>
      <c r="N54" s="127">
        <f>E54+Ass.!$M$33*(L54-D54)</f>
        <v>94.875528484200004</v>
      </c>
      <c r="O54" s="127">
        <f>MIN(1,MAX(0,F54+Ass.!$M$31))</f>
        <v>0.28273983835616451</v>
      </c>
      <c r="P54" s="127">
        <f t="shared" si="3"/>
        <v>0.43388099726027402</v>
      </c>
      <c r="Q54" s="128">
        <f t="shared" si="4"/>
        <v>0.28337916438356159</v>
      </c>
      <c r="R54" s="68"/>
      <c r="S54" s="68"/>
      <c r="T54" s="68"/>
      <c r="U54" s="68"/>
      <c r="V54" s="68"/>
      <c r="W54" s="68"/>
      <c r="X54" s="68"/>
      <c r="Y54" s="68"/>
      <c r="Z54" s="68"/>
      <c r="AA54" s="67"/>
      <c r="AB54" s="68"/>
      <c r="AC54" s="68"/>
      <c r="AD54" s="68"/>
      <c r="AE54" s="68"/>
      <c r="AF54" s="68"/>
      <c r="AG54" s="68"/>
      <c r="AH54" s="68"/>
      <c r="AI54" s="68"/>
      <c r="AJ54" s="68"/>
      <c r="AK54" s="67"/>
      <c r="AL54" s="68"/>
      <c r="AM54" s="68"/>
      <c r="AN54" s="68"/>
      <c r="AO54" s="68"/>
      <c r="AP54" s="68"/>
      <c r="AQ54" s="68"/>
      <c r="AR54" s="68"/>
      <c r="AS54" s="68"/>
      <c r="AT54" s="68"/>
      <c r="AU54" s="67"/>
      <c r="AV54" s="68"/>
      <c r="AW54" s="68"/>
      <c r="AX54" s="68"/>
      <c r="AY54" s="68"/>
      <c r="AZ54" s="68"/>
      <c r="BA54" s="68"/>
      <c r="BB54" s="68"/>
      <c r="BC54" s="68"/>
      <c r="BD54" s="68"/>
      <c r="BE54" s="67"/>
      <c r="BF54" s="68"/>
      <c r="BG54" s="68"/>
      <c r="BH54" s="68"/>
      <c r="BI54" s="68"/>
      <c r="BJ54" s="68"/>
      <c r="BK54" s="68"/>
      <c r="BL54" s="68"/>
      <c r="BM54" s="68"/>
      <c r="BN54" s="68"/>
      <c r="BO54" s="67"/>
      <c r="BP54" s="68"/>
      <c r="BQ54" s="68"/>
      <c r="BR54" s="68"/>
      <c r="BS54" s="68"/>
      <c r="BT54" s="68"/>
      <c r="BU54" s="68"/>
      <c r="BV54" s="68"/>
      <c r="BW54" s="68"/>
      <c r="BX54" s="68"/>
    </row>
    <row r="55" spans="1:76" x14ac:dyDescent="0.15">
      <c r="A55" s="119">
        <v>2050</v>
      </c>
      <c r="B55" s="120">
        <v>35.083218019048957</v>
      </c>
      <c r="C55" s="120">
        <v>139.43968115089999</v>
      </c>
      <c r="D55" s="121">
        <f t="shared" si="0"/>
        <v>109.04217998390618</v>
      </c>
      <c r="E55" s="120">
        <v>97.013610444700006</v>
      </c>
      <c r="F55" s="122">
        <v>0.28273983835616451</v>
      </c>
      <c r="G55" s="132">
        <v>0.43388099726027402</v>
      </c>
      <c r="H55" s="124">
        <v>0.28337916438356159</v>
      </c>
      <c r="I55" s="103"/>
      <c r="J55" s="125">
        <f>B55*(1+Ass.!$M$30)</f>
        <v>35.083218019048957</v>
      </c>
      <c r="K55" s="126">
        <f>C55*(1+Ass.!$M$32)</f>
        <v>139.43968115089999</v>
      </c>
      <c r="L55" s="126">
        <f t="shared" si="1"/>
        <v>109.04217998390618</v>
      </c>
      <c r="M55" s="126">
        <f t="shared" si="2"/>
        <v>109.04217998390618</v>
      </c>
      <c r="N55" s="127">
        <f>E55+Ass.!$M$33*(L55-D55)</f>
        <v>97.013610444700006</v>
      </c>
      <c r="O55" s="127">
        <f>MIN(1,MAX(0,F55+Ass.!$M$31))</f>
        <v>0.28273983835616451</v>
      </c>
      <c r="P55" s="127">
        <f t="shared" si="3"/>
        <v>0.43388099726027402</v>
      </c>
      <c r="Q55" s="128">
        <f t="shared" si="4"/>
        <v>0.28337916438356159</v>
      </c>
      <c r="R55" s="68"/>
      <c r="S55" s="68"/>
      <c r="T55" s="68"/>
      <c r="U55" s="68"/>
      <c r="V55" s="68"/>
      <c r="W55" s="68"/>
      <c r="X55" s="68"/>
      <c r="Y55" s="68"/>
      <c r="Z55" s="68"/>
      <c r="AA55" s="67"/>
      <c r="AB55" s="68"/>
      <c r="AC55" s="68"/>
      <c r="AD55" s="68"/>
      <c r="AE55" s="68"/>
      <c r="AF55" s="68"/>
      <c r="AG55" s="68"/>
      <c r="AH55" s="68"/>
      <c r="AI55" s="68"/>
      <c r="AJ55" s="68"/>
      <c r="AK55" s="67"/>
      <c r="AL55" s="68"/>
      <c r="AM55" s="68"/>
      <c r="AN55" s="68"/>
      <c r="AO55" s="68"/>
      <c r="AP55" s="68"/>
      <c r="AQ55" s="68"/>
      <c r="AR55" s="68"/>
      <c r="AS55" s="68"/>
      <c r="AT55" s="68"/>
      <c r="AU55" s="67"/>
      <c r="AV55" s="68"/>
      <c r="AW55" s="68"/>
      <c r="AX55" s="68"/>
      <c r="AY55" s="68"/>
      <c r="AZ55" s="68"/>
      <c r="BA55" s="68"/>
      <c r="BB55" s="68"/>
      <c r="BC55" s="68"/>
      <c r="BD55" s="68"/>
      <c r="BE55" s="67"/>
      <c r="BF55" s="68"/>
      <c r="BG55" s="68"/>
      <c r="BH55" s="68"/>
      <c r="BI55" s="68"/>
      <c r="BJ55" s="68"/>
      <c r="BK55" s="68"/>
      <c r="BL55" s="68"/>
      <c r="BM55" s="68"/>
      <c r="BN55" s="68"/>
      <c r="BO55" s="67"/>
      <c r="BP55" s="68"/>
      <c r="BQ55" s="68"/>
      <c r="BR55" s="68"/>
      <c r="BS55" s="68"/>
      <c r="BT55" s="68"/>
      <c r="BU55" s="68"/>
      <c r="BV55" s="68"/>
      <c r="BW55" s="68"/>
      <c r="BX55" s="68"/>
    </row>
    <row r="56" spans="1:76" x14ac:dyDescent="0.15">
      <c r="A56" s="119">
        <v>2051</v>
      </c>
      <c r="B56" s="120">
        <v>35.784882379429938</v>
      </c>
      <c r="C56" s="120">
        <v>142.22847477389999</v>
      </c>
      <c r="D56" s="121">
        <f t="shared" si="0"/>
        <v>111.22302358357805</v>
      </c>
      <c r="E56" s="120">
        <v>99.194454044300002</v>
      </c>
      <c r="F56" s="122">
        <v>0.28273983835616451</v>
      </c>
      <c r="G56" s="132">
        <v>0.43388099726027402</v>
      </c>
      <c r="H56" s="124">
        <v>0.28337916438356159</v>
      </c>
      <c r="I56" s="103"/>
      <c r="J56" s="125">
        <f>B56*(1+Ass.!$M$30)</f>
        <v>35.784882379429938</v>
      </c>
      <c r="K56" s="126">
        <f>C56*(1+Ass.!$M$32)</f>
        <v>142.22847477389999</v>
      </c>
      <c r="L56" s="126">
        <f t="shared" si="1"/>
        <v>111.22302358357805</v>
      </c>
      <c r="M56" s="126">
        <f t="shared" si="2"/>
        <v>111.22302358357805</v>
      </c>
      <c r="N56" s="127">
        <f>E56+Ass.!$M$33*(L56-D56)</f>
        <v>99.194454044300002</v>
      </c>
      <c r="O56" s="127">
        <f>MIN(1,MAX(0,F56+Ass.!$M$31))</f>
        <v>0.28273983835616451</v>
      </c>
      <c r="P56" s="127">
        <f t="shared" si="3"/>
        <v>0.43388099726027402</v>
      </c>
      <c r="Q56" s="128">
        <f t="shared" si="4"/>
        <v>0.28337916438356159</v>
      </c>
      <c r="R56" s="68"/>
      <c r="S56" s="68"/>
      <c r="T56" s="68"/>
      <c r="U56" s="68"/>
      <c r="V56" s="68"/>
      <c r="W56" s="68"/>
      <c r="X56" s="68"/>
      <c r="Y56" s="68"/>
      <c r="Z56" s="68"/>
      <c r="AA56" s="67"/>
      <c r="AB56" s="68"/>
      <c r="AC56" s="68"/>
      <c r="AD56" s="68"/>
      <c r="AE56" s="68"/>
      <c r="AF56" s="68"/>
      <c r="AG56" s="68"/>
      <c r="AH56" s="68"/>
      <c r="AI56" s="68"/>
      <c r="AJ56" s="68"/>
      <c r="AK56" s="67"/>
      <c r="AL56" s="68"/>
      <c r="AM56" s="68"/>
      <c r="AN56" s="68"/>
      <c r="AO56" s="68"/>
      <c r="AP56" s="68"/>
      <c r="AQ56" s="68"/>
      <c r="AR56" s="68"/>
      <c r="AS56" s="68"/>
      <c r="AT56" s="68"/>
      <c r="AU56" s="67"/>
      <c r="AV56" s="68"/>
      <c r="AW56" s="68"/>
      <c r="AX56" s="68"/>
      <c r="AY56" s="68"/>
      <c r="AZ56" s="68"/>
      <c r="BA56" s="68"/>
      <c r="BB56" s="68"/>
      <c r="BC56" s="68"/>
      <c r="BD56" s="68"/>
      <c r="BE56" s="67"/>
      <c r="BF56" s="68"/>
      <c r="BG56" s="68"/>
      <c r="BH56" s="68"/>
      <c r="BI56" s="68"/>
      <c r="BJ56" s="68"/>
      <c r="BK56" s="68"/>
      <c r="BL56" s="68"/>
      <c r="BM56" s="68"/>
      <c r="BN56" s="68"/>
      <c r="BO56" s="67"/>
      <c r="BP56" s="68"/>
      <c r="BQ56" s="68"/>
      <c r="BR56" s="68"/>
      <c r="BS56" s="68"/>
      <c r="BT56" s="68"/>
      <c r="BU56" s="68"/>
      <c r="BV56" s="68"/>
      <c r="BW56" s="68"/>
      <c r="BX56" s="68"/>
    </row>
    <row r="57" spans="1:76" x14ac:dyDescent="0.15">
      <c r="A57" s="119">
        <v>2052</v>
      </c>
      <c r="B57" s="120">
        <v>36.500580027018543</v>
      </c>
      <c r="C57" s="120">
        <v>145.07304426939999</v>
      </c>
      <c r="D57" s="121">
        <f t="shared" si="0"/>
        <v>113.44748405525728</v>
      </c>
      <c r="E57" s="120">
        <v>101.418914516</v>
      </c>
      <c r="F57" s="122">
        <v>0.28273983835616451</v>
      </c>
      <c r="G57" s="132">
        <v>0.43388099726027402</v>
      </c>
      <c r="H57" s="124">
        <v>0.28337916438356159</v>
      </c>
      <c r="I57" s="103"/>
      <c r="J57" s="125">
        <f>B57*(1+Ass.!$M$30)</f>
        <v>36.500580027018543</v>
      </c>
      <c r="K57" s="126">
        <f>C57*(1+Ass.!$M$32)</f>
        <v>145.07304426939999</v>
      </c>
      <c r="L57" s="126">
        <f t="shared" si="1"/>
        <v>113.44748405525728</v>
      </c>
      <c r="M57" s="126">
        <f t="shared" si="2"/>
        <v>113.44748405525728</v>
      </c>
      <c r="N57" s="127">
        <f>E57+Ass.!$M$33*(L57-D57)</f>
        <v>101.418914516</v>
      </c>
      <c r="O57" s="127">
        <f>MIN(1,MAX(0,F57+Ass.!$M$31))</f>
        <v>0.28273983835616451</v>
      </c>
      <c r="P57" s="127">
        <f t="shared" si="3"/>
        <v>0.43388099726027402</v>
      </c>
      <c r="Q57" s="128">
        <f t="shared" si="4"/>
        <v>0.28337916438356159</v>
      </c>
      <c r="R57" s="68"/>
      <c r="S57" s="68"/>
      <c r="T57" s="68"/>
      <c r="U57" s="68"/>
      <c r="V57" s="68"/>
      <c r="W57" s="68"/>
      <c r="X57" s="68"/>
      <c r="Y57" s="68"/>
      <c r="Z57" s="68"/>
      <c r="AA57" s="67"/>
      <c r="AB57" s="68"/>
      <c r="AC57" s="68"/>
      <c r="AD57" s="68"/>
      <c r="AE57" s="68"/>
      <c r="AF57" s="68"/>
      <c r="AG57" s="68"/>
      <c r="AH57" s="68"/>
      <c r="AI57" s="68"/>
      <c r="AJ57" s="68"/>
      <c r="AK57" s="67"/>
      <c r="AL57" s="68"/>
      <c r="AM57" s="68"/>
      <c r="AN57" s="68"/>
      <c r="AO57" s="68"/>
      <c r="AP57" s="68"/>
      <c r="AQ57" s="68"/>
      <c r="AR57" s="68"/>
      <c r="AS57" s="68"/>
      <c r="AT57" s="68"/>
      <c r="AU57" s="67"/>
      <c r="AV57" s="68"/>
      <c r="AW57" s="68"/>
      <c r="AX57" s="68"/>
      <c r="AY57" s="68"/>
      <c r="AZ57" s="68"/>
      <c r="BA57" s="68"/>
      <c r="BB57" s="68"/>
      <c r="BC57" s="68"/>
      <c r="BD57" s="68"/>
      <c r="BE57" s="67"/>
      <c r="BF57" s="68"/>
      <c r="BG57" s="68"/>
      <c r="BH57" s="68"/>
      <c r="BI57" s="68"/>
      <c r="BJ57" s="68"/>
      <c r="BK57" s="68"/>
      <c r="BL57" s="68"/>
      <c r="BM57" s="68"/>
      <c r="BN57" s="68"/>
      <c r="BO57" s="67"/>
      <c r="BP57" s="68"/>
      <c r="BQ57" s="68"/>
      <c r="BR57" s="68"/>
      <c r="BS57" s="68"/>
      <c r="BT57" s="68"/>
      <c r="BU57" s="68"/>
      <c r="BV57" s="68"/>
      <c r="BW57" s="68"/>
      <c r="BX57" s="68"/>
    </row>
    <row r="58" spans="1:76" x14ac:dyDescent="0.15">
      <c r="A58" s="119">
        <v>2053</v>
      </c>
      <c r="B58" s="120">
        <v>37.230591627558908</v>
      </c>
      <c r="C58" s="120">
        <v>147.97450515470001</v>
      </c>
      <c r="D58" s="121">
        <f t="shared" si="0"/>
        <v>115.71643373633179</v>
      </c>
      <c r="E58" s="120">
        <v>103.6878641971</v>
      </c>
      <c r="F58" s="122">
        <v>0.28273983835616451</v>
      </c>
      <c r="G58" s="132">
        <v>0.43388099726027402</v>
      </c>
      <c r="H58" s="124">
        <v>0.28337916438356159</v>
      </c>
      <c r="I58" s="103"/>
      <c r="J58" s="125">
        <f>B58*(1+Ass.!$M$30)</f>
        <v>37.230591627558908</v>
      </c>
      <c r="K58" s="126">
        <f>C58*(1+Ass.!$M$32)</f>
        <v>147.97450515470001</v>
      </c>
      <c r="L58" s="126">
        <f t="shared" si="1"/>
        <v>115.71643373633179</v>
      </c>
      <c r="M58" s="126">
        <f t="shared" si="2"/>
        <v>115.71643373633179</v>
      </c>
      <c r="N58" s="127">
        <f>E58+Ass.!$M$33*(L58-D58)</f>
        <v>103.6878641971</v>
      </c>
      <c r="O58" s="127">
        <f>MIN(1,MAX(0,F58+Ass.!$M$31))</f>
        <v>0.28273983835616451</v>
      </c>
      <c r="P58" s="127">
        <f t="shared" si="3"/>
        <v>0.43388099726027402</v>
      </c>
      <c r="Q58" s="128">
        <f t="shared" si="4"/>
        <v>0.28337916438356159</v>
      </c>
      <c r="R58" s="68"/>
      <c r="S58" s="68"/>
      <c r="T58" s="68"/>
      <c r="U58" s="68"/>
      <c r="V58" s="68"/>
      <c r="W58" s="68"/>
      <c r="X58" s="68"/>
      <c r="Y58" s="68"/>
      <c r="Z58" s="68"/>
      <c r="AA58" s="67"/>
      <c r="AB58" s="68"/>
      <c r="AC58" s="68"/>
      <c r="AD58" s="68"/>
      <c r="AE58" s="68"/>
      <c r="AF58" s="68"/>
      <c r="AG58" s="68"/>
      <c r="AH58" s="68"/>
      <c r="AI58" s="68"/>
      <c r="AJ58" s="68"/>
      <c r="AK58" s="67"/>
      <c r="AL58" s="68"/>
      <c r="AM58" s="68"/>
      <c r="AN58" s="68"/>
      <c r="AO58" s="68"/>
      <c r="AP58" s="68"/>
      <c r="AQ58" s="68"/>
      <c r="AR58" s="68"/>
      <c r="AS58" s="68"/>
      <c r="AT58" s="68"/>
      <c r="AU58" s="67"/>
      <c r="AV58" s="68"/>
      <c r="AW58" s="68"/>
      <c r="AX58" s="68"/>
      <c r="AY58" s="68"/>
      <c r="AZ58" s="68"/>
      <c r="BA58" s="68"/>
      <c r="BB58" s="68"/>
      <c r="BC58" s="68"/>
      <c r="BD58" s="68"/>
      <c r="BE58" s="67"/>
      <c r="BF58" s="68"/>
      <c r="BG58" s="68"/>
      <c r="BH58" s="68"/>
      <c r="BI58" s="68"/>
      <c r="BJ58" s="68"/>
      <c r="BK58" s="68"/>
      <c r="BL58" s="68"/>
      <c r="BM58" s="68"/>
      <c r="BN58" s="68"/>
      <c r="BO58" s="67"/>
      <c r="BP58" s="68"/>
      <c r="BQ58" s="68"/>
      <c r="BR58" s="68"/>
      <c r="BS58" s="68"/>
      <c r="BT58" s="68"/>
      <c r="BU58" s="68"/>
      <c r="BV58" s="68"/>
      <c r="BW58" s="68"/>
      <c r="BX58" s="68"/>
    </row>
    <row r="59" spans="1:76" x14ac:dyDescent="0.15">
      <c r="A59" s="119">
        <v>2054</v>
      </c>
      <c r="B59" s="120">
        <v>37.975203460110087</v>
      </c>
      <c r="C59" s="120">
        <v>150.93399525780001</v>
      </c>
      <c r="D59" s="121">
        <f t="shared" si="0"/>
        <v>118.03076241106051</v>
      </c>
      <c r="E59" s="120">
        <v>106.00219287180001</v>
      </c>
      <c r="F59" s="122">
        <v>0.28273983835616451</v>
      </c>
      <c r="G59" s="132">
        <v>0.43388099726027402</v>
      </c>
      <c r="H59" s="124">
        <v>0.28337916438356159</v>
      </c>
      <c r="I59" s="103"/>
      <c r="J59" s="125">
        <f>B59*(1+Ass.!$M$30)</f>
        <v>37.975203460110087</v>
      </c>
      <c r="K59" s="126">
        <f>C59*(1+Ass.!$M$32)</f>
        <v>150.93399525780001</v>
      </c>
      <c r="L59" s="126">
        <f t="shared" si="1"/>
        <v>118.03076241106051</v>
      </c>
      <c r="M59" s="126">
        <f t="shared" si="2"/>
        <v>118.03076241106051</v>
      </c>
      <c r="N59" s="127">
        <f>E59+Ass.!$M$33*(L59-D59)</f>
        <v>106.00219287180001</v>
      </c>
      <c r="O59" s="127">
        <f>MIN(1,MAX(0,F59+Ass.!$M$31))</f>
        <v>0.28273983835616451</v>
      </c>
      <c r="P59" s="127">
        <f t="shared" si="3"/>
        <v>0.43388099726027402</v>
      </c>
      <c r="Q59" s="128">
        <f t="shared" si="4"/>
        <v>0.28337916438356159</v>
      </c>
      <c r="R59" s="68"/>
      <c r="S59" s="68"/>
      <c r="T59" s="68"/>
      <c r="U59" s="68"/>
      <c r="V59" s="68"/>
      <c r="W59" s="68"/>
      <c r="X59" s="68"/>
      <c r="Y59" s="68"/>
      <c r="Z59" s="68"/>
      <c r="AA59" s="67"/>
      <c r="AB59" s="68"/>
      <c r="AC59" s="68"/>
      <c r="AD59" s="68"/>
      <c r="AE59" s="68"/>
      <c r="AF59" s="68"/>
      <c r="AG59" s="68"/>
      <c r="AH59" s="68"/>
      <c r="AI59" s="68"/>
      <c r="AJ59" s="68"/>
      <c r="AK59" s="67"/>
      <c r="AL59" s="68"/>
      <c r="AM59" s="68"/>
      <c r="AN59" s="68"/>
      <c r="AO59" s="68"/>
      <c r="AP59" s="68"/>
      <c r="AQ59" s="68"/>
      <c r="AR59" s="68"/>
      <c r="AS59" s="68"/>
      <c r="AT59" s="68"/>
      <c r="AU59" s="67"/>
      <c r="AV59" s="68"/>
      <c r="AW59" s="68"/>
      <c r="AX59" s="68"/>
      <c r="AY59" s="68"/>
      <c r="AZ59" s="68"/>
      <c r="BA59" s="68"/>
      <c r="BB59" s="68"/>
      <c r="BC59" s="68"/>
      <c r="BD59" s="68"/>
      <c r="BE59" s="67"/>
      <c r="BF59" s="68"/>
      <c r="BG59" s="68"/>
      <c r="BH59" s="68"/>
      <c r="BI59" s="68"/>
      <c r="BJ59" s="68"/>
      <c r="BK59" s="68"/>
      <c r="BL59" s="68"/>
      <c r="BM59" s="68"/>
      <c r="BN59" s="68"/>
      <c r="BO59" s="67"/>
      <c r="BP59" s="68"/>
      <c r="BQ59" s="68"/>
      <c r="BR59" s="68"/>
      <c r="BS59" s="68"/>
      <c r="BT59" s="68"/>
      <c r="BU59" s="68"/>
      <c r="BV59" s="68"/>
      <c r="BW59" s="68"/>
      <c r="BX59" s="68"/>
    </row>
    <row r="60" spans="1:76" x14ac:dyDescent="0.15">
      <c r="A60" s="119">
        <v>2055</v>
      </c>
      <c r="B60" s="120">
        <v>38.734707529312288</v>
      </c>
      <c r="C60" s="120">
        <v>153.95267516300001</v>
      </c>
      <c r="D60" s="121">
        <f t="shared" si="0"/>
        <v>120.39137765929704</v>
      </c>
      <c r="E60" s="120">
        <v>108.3628081201</v>
      </c>
      <c r="F60" s="122">
        <v>0.28273983835616451</v>
      </c>
      <c r="G60" s="132">
        <v>0.43388099726027402</v>
      </c>
      <c r="H60" s="124">
        <v>0.28337916438356159</v>
      </c>
      <c r="I60" s="103"/>
      <c r="J60" s="125">
        <f>B60*(1+Ass.!$M$30)</f>
        <v>38.734707529312288</v>
      </c>
      <c r="K60" s="126">
        <f>C60*(1+Ass.!$M$32)</f>
        <v>153.95267516300001</v>
      </c>
      <c r="L60" s="126">
        <f t="shared" si="1"/>
        <v>120.39137765929704</v>
      </c>
      <c r="M60" s="126">
        <f t="shared" si="2"/>
        <v>120.39137765929704</v>
      </c>
      <c r="N60" s="127">
        <f>E60+Ass.!$M$33*(L60-D60)</f>
        <v>108.3628081201</v>
      </c>
      <c r="O60" s="127">
        <f>MIN(1,MAX(0,F60+Ass.!$M$31))</f>
        <v>0.28273983835616451</v>
      </c>
      <c r="P60" s="127">
        <f t="shared" si="3"/>
        <v>0.43388099726027402</v>
      </c>
      <c r="Q60" s="128">
        <f t="shared" si="4"/>
        <v>0.28337916438356159</v>
      </c>
      <c r="R60" s="68"/>
      <c r="S60" s="68"/>
      <c r="T60" s="68"/>
      <c r="U60" s="68"/>
      <c r="V60" s="68"/>
      <c r="W60" s="68"/>
      <c r="X60" s="68"/>
      <c r="Y60" s="68"/>
      <c r="Z60" s="68"/>
      <c r="AA60" s="67"/>
      <c r="AB60" s="68"/>
      <c r="AC60" s="68"/>
      <c r="AD60" s="68"/>
      <c r="AE60" s="68"/>
      <c r="AF60" s="68"/>
      <c r="AG60" s="68"/>
      <c r="AH60" s="68"/>
      <c r="AI60" s="68"/>
      <c r="AJ60" s="68"/>
      <c r="AK60" s="67"/>
      <c r="AL60" s="68"/>
      <c r="AM60" s="68"/>
      <c r="AN60" s="68"/>
      <c r="AO60" s="68"/>
      <c r="AP60" s="68"/>
      <c r="AQ60" s="68"/>
      <c r="AR60" s="68"/>
      <c r="AS60" s="68"/>
      <c r="AT60" s="68"/>
      <c r="AU60" s="67"/>
      <c r="AV60" s="68"/>
      <c r="AW60" s="68"/>
      <c r="AX60" s="68"/>
      <c r="AY60" s="68"/>
      <c r="AZ60" s="68"/>
      <c r="BA60" s="68"/>
      <c r="BB60" s="68"/>
      <c r="BC60" s="68"/>
      <c r="BD60" s="68"/>
      <c r="BE60" s="67"/>
      <c r="BF60" s="68"/>
      <c r="BG60" s="68"/>
      <c r="BH60" s="68"/>
      <c r="BI60" s="68"/>
      <c r="BJ60" s="68"/>
      <c r="BK60" s="68"/>
      <c r="BL60" s="68"/>
      <c r="BM60" s="68"/>
      <c r="BN60" s="68"/>
      <c r="BO60" s="67"/>
      <c r="BP60" s="68"/>
      <c r="BQ60" s="68"/>
      <c r="BR60" s="68"/>
      <c r="BS60" s="68"/>
      <c r="BT60" s="68"/>
      <c r="BU60" s="68"/>
      <c r="BV60" s="68"/>
      <c r="BW60" s="68"/>
      <c r="BX60" s="68"/>
    </row>
    <row r="61" spans="1:76" x14ac:dyDescent="0.15">
      <c r="A61" s="119">
        <v>2056</v>
      </c>
      <c r="B61" s="120">
        <v>39.509401679898531</v>
      </c>
      <c r="C61" s="120">
        <v>157.03172866630001</v>
      </c>
      <c r="D61" s="121">
        <f t="shared" si="0"/>
        <v>122.7992052124969</v>
      </c>
      <c r="E61" s="120">
        <v>110.77063567330001</v>
      </c>
      <c r="F61" s="122">
        <v>0.28273983835616451</v>
      </c>
      <c r="G61" s="132">
        <v>0.43388099726027402</v>
      </c>
      <c r="H61" s="124">
        <v>0.28337916438356159</v>
      </c>
      <c r="I61" s="103"/>
      <c r="J61" s="125">
        <f>B61*(1+Ass.!$M$30)</f>
        <v>39.509401679898531</v>
      </c>
      <c r="K61" s="126">
        <f>C61*(1+Ass.!$M$32)</f>
        <v>157.03172866630001</v>
      </c>
      <c r="L61" s="126">
        <f t="shared" si="1"/>
        <v>122.7992052124969</v>
      </c>
      <c r="M61" s="126">
        <f t="shared" si="2"/>
        <v>122.7992052124969</v>
      </c>
      <c r="N61" s="127">
        <f>E61+Ass.!$M$33*(L61-D61)</f>
        <v>110.77063567330001</v>
      </c>
      <c r="O61" s="127">
        <f>MIN(1,MAX(0,F61+Ass.!$M$31))</f>
        <v>0.28273983835616451</v>
      </c>
      <c r="P61" s="127">
        <f t="shared" si="3"/>
        <v>0.43388099726027402</v>
      </c>
      <c r="Q61" s="128">
        <f t="shared" si="4"/>
        <v>0.28337916438356159</v>
      </c>
      <c r="R61" s="68"/>
      <c r="S61" s="68"/>
      <c r="T61" s="68"/>
      <c r="U61" s="68"/>
      <c r="V61" s="68"/>
      <c r="W61" s="68"/>
      <c r="X61" s="68"/>
      <c r="Y61" s="68"/>
      <c r="Z61" s="68"/>
      <c r="AA61" s="67"/>
      <c r="AB61" s="68"/>
      <c r="AC61" s="68"/>
      <c r="AD61" s="68"/>
      <c r="AE61" s="68"/>
      <c r="AF61" s="68"/>
      <c r="AG61" s="68"/>
      <c r="AH61" s="68"/>
      <c r="AI61" s="68"/>
      <c r="AJ61" s="68"/>
      <c r="AK61" s="67"/>
      <c r="AL61" s="68"/>
      <c r="AM61" s="68"/>
      <c r="AN61" s="68"/>
      <c r="AO61" s="68"/>
      <c r="AP61" s="68"/>
      <c r="AQ61" s="68"/>
      <c r="AR61" s="68"/>
      <c r="AS61" s="68"/>
      <c r="AT61" s="68"/>
      <c r="AU61" s="67"/>
      <c r="AV61" s="68"/>
      <c r="AW61" s="68"/>
      <c r="AX61" s="68"/>
      <c r="AY61" s="68"/>
      <c r="AZ61" s="68"/>
      <c r="BA61" s="68"/>
      <c r="BB61" s="68"/>
      <c r="BC61" s="68"/>
      <c r="BD61" s="68"/>
      <c r="BE61" s="67"/>
      <c r="BF61" s="68"/>
      <c r="BG61" s="68"/>
      <c r="BH61" s="68"/>
      <c r="BI61" s="68"/>
      <c r="BJ61" s="68"/>
      <c r="BK61" s="68"/>
      <c r="BL61" s="68"/>
      <c r="BM61" s="68"/>
      <c r="BN61" s="68"/>
      <c r="BO61" s="67"/>
      <c r="BP61" s="68"/>
      <c r="BQ61" s="68"/>
      <c r="BR61" s="68"/>
      <c r="BS61" s="68"/>
      <c r="BT61" s="68"/>
      <c r="BU61" s="68"/>
      <c r="BV61" s="68"/>
      <c r="BW61" s="68"/>
      <c r="BX61" s="68"/>
    </row>
    <row r="62" spans="1:76" x14ac:dyDescent="0.15">
      <c r="A62" s="119">
        <v>2057</v>
      </c>
      <c r="B62" s="120">
        <v>40.299589713496509</v>
      </c>
      <c r="C62" s="120">
        <v>160.1723632396</v>
      </c>
      <c r="D62" s="121">
        <f t="shared" si="0"/>
        <v>125.2551893167378</v>
      </c>
      <c r="E62" s="120">
        <v>113.22661977750001</v>
      </c>
      <c r="F62" s="122">
        <v>0.28273983835616451</v>
      </c>
      <c r="G62" s="132">
        <v>0.43388099726027402</v>
      </c>
      <c r="H62" s="124">
        <v>0.28337916438356159</v>
      </c>
      <c r="I62" s="103"/>
      <c r="J62" s="125">
        <f>B62*(1+Ass.!$M$30)</f>
        <v>40.299589713496509</v>
      </c>
      <c r="K62" s="126">
        <f>C62*(1+Ass.!$M$32)</f>
        <v>160.1723632396</v>
      </c>
      <c r="L62" s="126">
        <f t="shared" si="1"/>
        <v>125.2551893167378</v>
      </c>
      <c r="M62" s="126">
        <f t="shared" si="2"/>
        <v>125.2551893167378</v>
      </c>
      <c r="N62" s="127">
        <f>E62+Ass.!$M$33*(L62-D62)</f>
        <v>113.22661977750001</v>
      </c>
      <c r="O62" s="127">
        <f>MIN(1,MAX(0,F62+Ass.!$M$31))</f>
        <v>0.28273983835616451</v>
      </c>
      <c r="P62" s="127">
        <f t="shared" si="3"/>
        <v>0.43388099726027402</v>
      </c>
      <c r="Q62" s="128">
        <f t="shared" si="4"/>
        <v>0.28337916438356159</v>
      </c>
      <c r="R62" s="68"/>
      <c r="S62" s="68"/>
      <c r="T62" s="68"/>
      <c r="U62" s="68"/>
      <c r="V62" s="68"/>
      <c r="W62" s="68"/>
      <c r="X62" s="68"/>
      <c r="Y62" s="68"/>
      <c r="Z62" s="68"/>
      <c r="AA62" s="67"/>
      <c r="AB62" s="68"/>
      <c r="AC62" s="68"/>
      <c r="AD62" s="68"/>
      <c r="AE62" s="68"/>
      <c r="AF62" s="68"/>
      <c r="AG62" s="68"/>
      <c r="AH62" s="68"/>
      <c r="AI62" s="68"/>
      <c r="AJ62" s="68"/>
      <c r="AK62" s="67"/>
      <c r="AL62" s="68"/>
      <c r="AM62" s="68"/>
      <c r="AN62" s="68"/>
      <c r="AO62" s="68"/>
      <c r="AP62" s="68"/>
      <c r="AQ62" s="68"/>
      <c r="AR62" s="68"/>
      <c r="AS62" s="68"/>
      <c r="AT62" s="68"/>
      <c r="AU62" s="67"/>
      <c r="AV62" s="68"/>
      <c r="AW62" s="68"/>
      <c r="AX62" s="68"/>
      <c r="AY62" s="68"/>
      <c r="AZ62" s="68"/>
      <c r="BA62" s="68"/>
      <c r="BB62" s="68"/>
      <c r="BC62" s="68"/>
      <c r="BD62" s="68"/>
      <c r="BE62" s="67"/>
      <c r="BF62" s="68"/>
      <c r="BG62" s="68"/>
      <c r="BH62" s="68"/>
      <c r="BI62" s="68"/>
      <c r="BJ62" s="68"/>
      <c r="BK62" s="68"/>
      <c r="BL62" s="68"/>
      <c r="BM62" s="68"/>
      <c r="BN62" s="68"/>
      <c r="BO62" s="67"/>
      <c r="BP62" s="68"/>
      <c r="BQ62" s="68"/>
      <c r="BR62" s="68"/>
      <c r="BS62" s="68"/>
      <c r="BT62" s="68"/>
      <c r="BU62" s="68"/>
      <c r="BV62" s="68"/>
      <c r="BW62" s="68"/>
      <c r="BX62" s="68"/>
    </row>
    <row r="63" spans="1:76" x14ac:dyDescent="0.15">
      <c r="A63" s="119">
        <v>2058</v>
      </c>
      <c r="B63" s="120">
        <v>41.105581507766438</v>
      </c>
      <c r="C63" s="120">
        <v>163.37581050439999</v>
      </c>
      <c r="D63" s="121">
        <f t="shared" si="0"/>
        <v>127.76029310307533</v>
      </c>
      <c r="E63" s="120">
        <v>115.7317235638</v>
      </c>
      <c r="F63" s="122">
        <v>0.28273983835616451</v>
      </c>
      <c r="G63" s="132">
        <v>0.43388099726027402</v>
      </c>
      <c r="H63" s="124">
        <v>0.28337916438356159</v>
      </c>
      <c r="I63" s="103"/>
      <c r="J63" s="125">
        <f>B63*(1+Ass.!$M$30)</f>
        <v>41.105581507766438</v>
      </c>
      <c r="K63" s="126">
        <f>C63*(1+Ass.!$M$32)</f>
        <v>163.37581050439999</v>
      </c>
      <c r="L63" s="126">
        <f t="shared" si="1"/>
        <v>127.76029310307533</v>
      </c>
      <c r="M63" s="126">
        <f t="shared" si="2"/>
        <v>127.76029310307533</v>
      </c>
      <c r="N63" s="127">
        <f>E63+Ass.!$M$33*(L63-D63)</f>
        <v>115.7317235638</v>
      </c>
      <c r="O63" s="127">
        <f>MIN(1,MAX(0,F63+Ass.!$M$31))</f>
        <v>0.28273983835616451</v>
      </c>
      <c r="P63" s="127">
        <f t="shared" si="3"/>
        <v>0.43388099726027402</v>
      </c>
      <c r="Q63" s="128">
        <f t="shared" si="4"/>
        <v>0.28337916438356159</v>
      </c>
      <c r="R63" s="68"/>
      <c r="S63" s="68"/>
      <c r="T63" s="68"/>
      <c r="U63" s="68"/>
      <c r="V63" s="68"/>
      <c r="W63" s="68"/>
      <c r="X63" s="68"/>
      <c r="Y63" s="68"/>
      <c r="Z63" s="68"/>
      <c r="AA63" s="67"/>
      <c r="AB63" s="68"/>
      <c r="AC63" s="68"/>
      <c r="AD63" s="68"/>
      <c r="AE63" s="68"/>
      <c r="AF63" s="68"/>
      <c r="AG63" s="68"/>
      <c r="AH63" s="68"/>
      <c r="AI63" s="68"/>
      <c r="AJ63" s="68"/>
      <c r="AK63" s="67"/>
      <c r="AL63" s="68"/>
      <c r="AM63" s="68"/>
      <c r="AN63" s="68"/>
      <c r="AO63" s="68"/>
      <c r="AP63" s="68"/>
      <c r="AQ63" s="68"/>
      <c r="AR63" s="68"/>
      <c r="AS63" s="68"/>
      <c r="AT63" s="68"/>
      <c r="AU63" s="67"/>
      <c r="AV63" s="68"/>
      <c r="AW63" s="68"/>
      <c r="AX63" s="68"/>
      <c r="AY63" s="68"/>
      <c r="AZ63" s="68"/>
      <c r="BA63" s="68"/>
      <c r="BB63" s="68"/>
      <c r="BC63" s="68"/>
      <c r="BD63" s="68"/>
      <c r="BE63" s="67"/>
      <c r="BF63" s="68"/>
      <c r="BG63" s="68"/>
      <c r="BH63" s="68"/>
      <c r="BI63" s="68"/>
      <c r="BJ63" s="68"/>
      <c r="BK63" s="68"/>
      <c r="BL63" s="68"/>
      <c r="BM63" s="68"/>
      <c r="BN63" s="68"/>
      <c r="BO63" s="67"/>
      <c r="BP63" s="68"/>
      <c r="BQ63" s="68"/>
      <c r="BR63" s="68"/>
      <c r="BS63" s="68"/>
      <c r="BT63" s="68"/>
      <c r="BU63" s="68"/>
      <c r="BV63" s="68"/>
      <c r="BW63" s="68"/>
      <c r="BX63" s="68"/>
    </row>
    <row r="64" spans="1:76" x14ac:dyDescent="0.15">
      <c r="A64" s="119">
        <v>2059</v>
      </c>
      <c r="B64" s="120">
        <v>41.927693137921757</v>
      </c>
      <c r="C64" s="120">
        <v>166.64332671450001</v>
      </c>
      <c r="D64" s="121">
        <f t="shared" si="0"/>
        <v>130.31549896514099</v>
      </c>
      <c r="E64" s="120">
        <v>118.2869294259</v>
      </c>
      <c r="F64" s="122">
        <v>0.28273983835616451</v>
      </c>
      <c r="G64" s="132">
        <v>0.43388099726027402</v>
      </c>
      <c r="H64" s="124">
        <v>0.28337916438356159</v>
      </c>
      <c r="I64" s="103"/>
      <c r="J64" s="125">
        <f>B64*(1+Ass.!$M$30)</f>
        <v>41.927693137921757</v>
      </c>
      <c r="K64" s="126">
        <f>C64*(1+Ass.!$M$32)</f>
        <v>166.64332671450001</v>
      </c>
      <c r="L64" s="126">
        <f t="shared" si="1"/>
        <v>130.31549896514099</v>
      </c>
      <c r="M64" s="126">
        <f t="shared" si="2"/>
        <v>130.31549896514099</v>
      </c>
      <c r="N64" s="127">
        <f>E64+Ass.!$M$33*(L64-D64)</f>
        <v>118.2869294259</v>
      </c>
      <c r="O64" s="127">
        <f>MIN(1,MAX(0,F64+Ass.!$M$31))</f>
        <v>0.28273983835616451</v>
      </c>
      <c r="P64" s="127">
        <f t="shared" si="3"/>
        <v>0.43388099726027402</v>
      </c>
      <c r="Q64" s="128">
        <f t="shared" si="4"/>
        <v>0.28337916438356159</v>
      </c>
      <c r="R64" s="68"/>
      <c r="S64" s="68"/>
      <c r="T64" s="68"/>
      <c r="U64" s="68"/>
      <c r="V64" s="68"/>
      <c r="W64" s="68"/>
      <c r="X64" s="68"/>
      <c r="Y64" s="68"/>
      <c r="Z64" s="68"/>
      <c r="AA64" s="67"/>
      <c r="AB64" s="68"/>
      <c r="AC64" s="68"/>
      <c r="AD64" s="68"/>
      <c r="AE64" s="68"/>
      <c r="AF64" s="68"/>
      <c r="AG64" s="68"/>
      <c r="AH64" s="68"/>
      <c r="AI64" s="68"/>
      <c r="AJ64" s="68"/>
      <c r="AK64" s="67"/>
      <c r="AL64" s="68"/>
      <c r="AM64" s="68"/>
      <c r="AN64" s="68"/>
      <c r="AO64" s="68"/>
      <c r="AP64" s="68"/>
      <c r="AQ64" s="68"/>
      <c r="AR64" s="68"/>
      <c r="AS64" s="68"/>
      <c r="AT64" s="68"/>
      <c r="AU64" s="67"/>
      <c r="AV64" s="68"/>
      <c r="AW64" s="68"/>
      <c r="AX64" s="68"/>
      <c r="AY64" s="68"/>
      <c r="AZ64" s="68"/>
      <c r="BA64" s="68"/>
      <c r="BB64" s="68"/>
      <c r="BC64" s="68"/>
      <c r="BD64" s="68"/>
      <c r="BE64" s="67"/>
      <c r="BF64" s="68"/>
      <c r="BG64" s="68"/>
      <c r="BH64" s="68"/>
      <c r="BI64" s="68"/>
      <c r="BJ64" s="68"/>
      <c r="BK64" s="68"/>
      <c r="BL64" s="68"/>
      <c r="BM64" s="68"/>
      <c r="BN64" s="68"/>
      <c r="BO64" s="67"/>
      <c r="BP64" s="68"/>
      <c r="BQ64" s="68"/>
      <c r="BR64" s="68"/>
      <c r="BS64" s="68"/>
      <c r="BT64" s="68"/>
      <c r="BU64" s="68"/>
      <c r="BV64" s="68"/>
      <c r="BW64" s="68"/>
      <c r="BX64" s="68"/>
    </row>
    <row r="65" spans="1:76" ht="13.5" customHeight="1" thickBot="1" x14ac:dyDescent="0.2">
      <c r="A65" s="119">
        <v>2060</v>
      </c>
      <c r="B65" s="120">
        <v>42.766247000680202</v>
      </c>
      <c r="C65" s="120">
        <v>169.9761932488</v>
      </c>
      <c r="D65" s="121">
        <f t="shared" si="0"/>
        <v>132.92180894444732</v>
      </c>
      <c r="E65" s="120">
        <v>120.89323940520001</v>
      </c>
      <c r="F65" s="122">
        <v>0.28273983835616451</v>
      </c>
      <c r="G65" s="148">
        <v>0.43388099726027402</v>
      </c>
      <c r="H65" s="124">
        <v>0.28337916438356159</v>
      </c>
      <c r="I65" s="104"/>
      <c r="J65" s="125">
        <f>B65*(1+Ass.!$M$30)</f>
        <v>42.766247000680202</v>
      </c>
      <c r="K65" s="126">
        <f>C65*(1+Ass.!$M$32)</f>
        <v>169.9761932488</v>
      </c>
      <c r="L65" s="126">
        <f t="shared" si="1"/>
        <v>132.92180894444732</v>
      </c>
      <c r="M65" s="126">
        <f t="shared" si="2"/>
        <v>132.92180894444732</v>
      </c>
      <c r="N65" s="127">
        <f>E65+Ass.!$M$33*(L65-D65)</f>
        <v>120.89323940520001</v>
      </c>
      <c r="O65" s="127">
        <f>MIN(1,MAX(0,F65+Ass.!$M$31))</f>
        <v>0.28273983835616451</v>
      </c>
      <c r="P65" s="127">
        <f t="shared" si="3"/>
        <v>0.43388099726027402</v>
      </c>
      <c r="Q65" s="128">
        <f t="shared" si="4"/>
        <v>0.28337916438356159</v>
      </c>
      <c r="R65" s="68"/>
      <c r="S65" s="68"/>
      <c r="T65" s="68"/>
      <c r="U65" s="68"/>
      <c r="V65" s="68"/>
      <c r="W65" s="68"/>
      <c r="X65" s="68"/>
      <c r="Y65" s="68"/>
      <c r="Z65" s="68"/>
      <c r="AA65" s="67"/>
      <c r="AB65" s="68"/>
      <c r="AC65" s="68"/>
      <c r="AD65" s="68"/>
      <c r="AE65" s="68"/>
      <c r="AF65" s="68"/>
      <c r="AG65" s="68"/>
      <c r="AH65" s="68"/>
      <c r="AI65" s="68"/>
      <c r="AJ65" s="68"/>
      <c r="AK65" s="67"/>
      <c r="AL65" s="68"/>
      <c r="AM65" s="68"/>
      <c r="AN65" s="68"/>
      <c r="AO65" s="68"/>
      <c r="AP65" s="68"/>
      <c r="AQ65" s="68"/>
      <c r="AR65" s="68"/>
      <c r="AS65" s="68"/>
      <c r="AT65" s="68"/>
      <c r="AU65" s="67"/>
      <c r="AV65" s="68"/>
      <c r="AW65" s="68"/>
      <c r="AX65" s="68"/>
      <c r="AY65" s="68"/>
      <c r="AZ65" s="68"/>
      <c r="BA65" s="68"/>
      <c r="BB65" s="68"/>
      <c r="BC65" s="68"/>
      <c r="BD65" s="68"/>
      <c r="BE65" s="67"/>
      <c r="BF65" s="68"/>
      <c r="BG65" s="68"/>
      <c r="BH65" s="68"/>
      <c r="BI65" s="68"/>
      <c r="BJ65" s="68"/>
      <c r="BK65" s="68"/>
      <c r="BL65" s="68"/>
      <c r="BM65" s="68"/>
      <c r="BN65" s="68"/>
      <c r="BO65" s="67"/>
      <c r="BP65" s="68"/>
      <c r="BQ65" s="68"/>
      <c r="BR65" s="68"/>
      <c r="BS65" s="68"/>
      <c r="BT65" s="68"/>
      <c r="BU65" s="68"/>
      <c r="BV65" s="68"/>
      <c r="BW65" s="68"/>
      <c r="BX65" s="68"/>
    </row>
    <row r="66" spans="1:76" ht="13.5" customHeight="1" thickTop="1" x14ac:dyDescent="0.15"/>
  </sheetData>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F8F00"/>
    <pageSetUpPr fitToPage="1"/>
  </sheetPr>
  <dimension ref="C3:AR19"/>
  <sheetViews>
    <sheetView showGridLines="0" zoomScaleNormal="100" workbookViewId="0">
      <pane xSplit="9" ySplit="5" topLeftCell="J6" activePane="bottomRight" state="frozen"/>
      <selection activeCell="C7" sqref="C7"/>
      <selection pane="topRight" activeCell="C7" sqref="C7"/>
      <selection pane="bottomLeft" activeCell="C7" sqref="C7"/>
      <selection pane="bottomRight" activeCell="J18" sqref="J18"/>
    </sheetView>
  </sheetViews>
  <sheetFormatPr baseColWidth="10" defaultColWidth="8.6640625" defaultRowHeight="13" x14ac:dyDescent="0.15"/>
  <cols>
    <col min="10" max="43" width="11.5" customWidth="1"/>
  </cols>
  <sheetData>
    <row r="3" spans="3:44" ht="12.75" customHeight="1" x14ac:dyDescent="0.15">
      <c r="H3" t="s">
        <v>205</v>
      </c>
    </row>
    <row r="4" spans="3:44" ht="12.75" customHeight="1" x14ac:dyDescent="0.15">
      <c r="H4" t="s">
        <v>206</v>
      </c>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row>
    <row r="5" spans="3:44" ht="12.75" customHeight="1" x14ac:dyDescent="0.15">
      <c r="H5" t="s">
        <v>207</v>
      </c>
      <c r="J5" s="32">
        <v>2027</v>
      </c>
      <c r="K5" s="33">
        <f t="shared" ref="K5:AQ5" si="0">J5+1</f>
        <v>2028</v>
      </c>
      <c r="L5" s="33">
        <f t="shared" si="0"/>
        <v>2029</v>
      </c>
      <c r="M5" s="33">
        <f t="shared" si="0"/>
        <v>2030</v>
      </c>
      <c r="N5" s="33">
        <f t="shared" si="0"/>
        <v>2031</v>
      </c>
      <c r="O5" s="32">
        <f t="shared" si="0"/>
        <v>2032</v>
      </c>
      <c r="P5" s="33">
        <f t="shared" si="0"/>
        <v>2033</v>
      </c>
      <c r="Q5" s="33">
        <f t="shared" si="0"/>
        <v>2034</v>
      </c>
      <c r="R5" s="33">
        <f t="shared" si="0"/>
        <v>2035</v>
      </c>
      <c r="S5" s="33">
        <f t="shared" si="0"/>
        <v>2036</v>
      </c>
      <c r="T5" s="32">
        <f t="shared" si="0"/>
        <v>2037</v>
      </c>
      <c r="U5" s="33">
        <f t="shared" si="0"/>
        <v>2038</v>
      </c>
      <c r="V5" s="33">
        <f t="shared" si="0"/>
        <v>2039</v>
      </c>
      <c r="W5" s="33">
        <f t="shared" si="0"/>
        <v>2040</v>
      </c>
      <c r="X5" s="33">
        <f t="shared" si="0"/>
        <v>2041</v>
      </c>
      <c r="Y5" s="32">
        <f t="shared" si="0"/>
        <v>2042</v>
      </c>
      <c r="Z5" s="33">
        <f t="shared" si="0"/>
        <v>2043</v>
      </c>
      <c r="AA5" s="33">
        <f t="shared" si="0"/>
        <v>2044</v>
      </c>
      <c r="AB5" s="33">
        <f t="shared" si="0"/>
        <v>2045</v>
      </c>
      <c r="AC5" s="33">
        <f t="shared" si="0"/>
        <v>2046</v>
      </c>
      <c r="AD5" s="32">
        <f t="shared" si="0"/>
        <v>2047</v>
      </c>
      <c r="AE5" s="33">
        <f t="shared" si="0"/>
        <v>2048</v>
      </c>
      <c r="AF5" s="33">
        <f t="shared" si="0"/>
        <v>2049</v>
      </c>
      <c r="AG5" s="33">
        <f t="shared" si="0"/>
        <v>2050</v>
      </c>
      <c r="AH5" s="33">
        <f t="shared" si="0"/>
        <v>2051</v>
      </c>
      <c r="AI5" s="32">
        <f t="shared" si="0"/>
        <v>2052</v>
      </c>
      <c r="AJ5" s="33">
        <f t="shared" si="0"/>
        <v>2053</v>
      </c>
      <c r="AK5" s="33">
        <f t="shared" si="0"/>
        <v>2054</v>
      </c>
      <c r="AL5" s="33">
        <f t="shared" si="0"/>
        <v>2055</v>
      </c>
      <c r="AM5" s="33">
        <f t="shared" si="0"/>
        <v>2056</v>
      </c>
      <c r="AN5" s="32">
        <f t="shared" si="0"/>
        <v>2057</v>
      </c>
      <c r="AO5" s="33">
        <f t="shared" si="0"/>
        <v>2058</v>
      </c>
      <c r="AP5" s="33">
        <f t="shared" si="0"/>
        <v>2059</v>
      </c>
      <c r="AQ5" s="33">
        <f t="shared" si="0"/>
        <v>2060</v>
      </c>
    </row>
    <row r="6" spans="3:44" ht="12.75" customHeight="1" x14ac:dyDescent="0.15">
      <c r="J6" s="34"/>
      <c r="O6" s="34"/>
      <c r="T6" s="34"/>
      <c r="Y6" s="34"/>
      <c r="AD6" s="34"/>
      <c r="AI6" s="34"/>
      <c r="AN6" s="34"/>
    </row>
    <row r="7" spans="3:44" ht="12.75" customHeight="1" x14ac:dyDescent="0.15">
      <c r="C7" t="s">
        <v>208</v>
      </c>
      <c r="J7" s="35">
        <f>IFERROR(INDEX('IM Price Import'!J$30:J$65,MATCH('Gas prc.'!J$5,'IM Price Import'!$A$30:$A$65,0)),"#IM!")</f>
        <v>38.524166666666673</v>
      </c>
      <c r="K7" s="75">
        <f>IFERROR(INDEX('IM Price Import'!J$30:J$65,MATCH('Gas prc.'!K$5,'IM Price Import'!$A$30:$A$65,0)),"#IM!")</f>
        <v>27.9</v>
      </c>
      <c r="L7" s="75">
        <f>IFERROR(INDEX('IM Price Import'!J$30:J$65,MATCH('Gas prc.'!L$5,'IM Price Import'!$A$30:$A$65,0)),"#IM!")</f>
        <v>23.607500000000002</v>
      </c>
      <c r="M7" s="75">
        <f>IFERROR(INDEX('IM Price Import'!J$30:J$65,MATCH('Gas prc.'!M$5,'IM Price Import'!$A$30:$A$65,0)),"#IM!")</f>
        <v>22.432500000000001</v>
      </c>
      <c r="N7" s="75">
        <f>IFERROR(INDEX('IM Price Import'!J$30:J$65,MATCH('Gas prc.'!N$5,'IM Price Import'!$A$30:$A$65,0)),"#IM!")</f>
        <v>24.0822</v>
      </c>
      <c r="O7" s="74">
        <f>IFERROR(INDEX('IM Price Import'!J$30:J$65,MATCH('Gas prc.'!O$5,'IM Price Import'!$A$30:$A$65,0)),"#IM!")</f>
        <v>24.563844</v>
      </c>
      <c r="P7" s="75">
        <f>IFERROR(INDEX('IM Price Import'!J$30:J$65,MATCH('Gas prc.'!P$5,'IM Price Import'!$A$30:$A$65,0)),"#IM!")</f>
        <v>25.05512088</v>
      </c>
      <c r="Q7" s="75">
        <f>IFERROR(INDEX('IM Price Import'!J$30:J$65,MATCH('Gas prc.'!Q$5,'IM Price Import'!$A$30:$A$65,0)),"#IM!")</f>
        <v>25.556223297599999</v>
      </c>
      <c r="R7" s="75">
        <f>IFERROR(INDEX('IM Price Import'!J$30:J$65,MATCH('Gas prc.'!R$5,'IM Price Import'!$A$30:$A$65,0)),"#IM!")</f>
        <v>26.067347763552</v>
      </c>
      <c r="S7" s="75">
        <f>IFERROR(INDEX('IM Price Import'!J$30:J$65,MATCH('Gas prc.'!S$5,'IM Price Import'!$A$30:$A$65,0)),"#IM!")</f>
        <v>26.588694718823039</v>
      </c>
      <c r="T7" s="74">
        <f>IFERROR(INDEX('IM Price Import'!J$30:J$65,MATCH('Gas prc.'!T$5,'IM Price Import'!$A$30:$A$65,0)),"#IM!")</f>
        <v>27.120468613199499</v>
      </c>
      <c r="U7" s="75">
        <f>IFERROR(INDEX('IM Price Import'!J$30:J$65,MATCH('Gas prc.'!U$5,'IM Price Import'!$A$30:$A$65,0)),"#IM!")</f>
        <v>27.662877985463489</v>
      </c>
      <c r="V7" s="75">
        <f>IFERROR(INDEX('IM Price Import'!J$30:J$65,MATCH('Gas prc.'!V$5,'IM Price Import'!$A$30:$A$65,0)),"#IM!")</f>
        <v>28.216135545172769</v>
      </c>
      <c r="W7" s="75">
        <f>IFERROR(INDEX('IM Price Import'!J$30:J$65,MATCH('Gas prc.'!W$5,'IM Price Import'!$A$30:$A$65,0)),"#IM!")</f>
        <v>28.780458256076219</v>
      </c>
      <c r="X7" s="75">
        <f>IFERROR(INDEX('IM Price Import'!J$30:J$65,MATCH('Gas prc.'!X$5,'IM Price Import'!$A$30:$A$65,0)),"#IM!")</f>
        <v>29.356067421197739</v>
      </c>
      <c r="Y7" s="74">
        <f>IFERROR(INDEX('IM Price Import'!J$30:J$65,MATCH('Gas prc.'!Y$5,'IM Price Import'!$A$30:$A$65,0)),"#IM!")</f>
        <v>29.943188769621699</v>
      </c>
      <c r="Z7" s="75">
        <f>IFERROR(INDEX('IM Price Import'!J$30:J$65,MATCH('Gas prc.'!Z$5,'IM Price Import'!$A$30:$A$65,0)),"#IM!")</f>
        <v>30.54205254501414</v>
      </c>
      <c r="AA7" s="75">
        <f>IFERROR(INDEX('IM Price Import'!J$30:J$65,MATCH('Gas prc.'!AA$5,'IM Price Import'!$A$30:$A$65,0)),"#IM!")</f>
        <v>31.152893595914421</v>
      </c>
      <c r="AB7" s="75">
        <f>IFERROR(INDEX('IM Price Import'!J$30:J$65,MATCH('Gas prc.'!AB$5,'IM Price Import'!$A$30:$A$65,0)),"#IM!")</f>
        <v>31.775951467832709</v>
      </c>
      <c r="AC7" s="75">
        <f>IFERROR(INDEX('IM Price Import'!J$30:J$65,MATCH('Gas prc.'!AC$5,'IM Price Import'!$A$30:$A$65,0)),"#IM!")</f>
        <v>32.411470497189363</v>
      </c>
      <c r="AD7" s="74">
        <f>IFERROR(INDEX('IM Price Import'!J$30:J$65,MATCH('Gas prc.'!AD$5,'IM Price Import'!$A$30:$A$65,0)),"#IM!")</f>
        <v>33.059699907133151</v>
      </c>
      <c r="AE7" s="75">
        <f>IFERROR(INDEX('IM Price Import'!J$30:J$65,MATCH('Gas prc.'!AE$5,'IM Price Import'!$A$30:$A$65,0)),"#IM!")</f>
        <v>33.720893905275823</v>
      </c>
      <c r="AF7" s="75">
        <f>IFERROR(INDEX('IM Price Import'!J$30:J$65,MATCH('Gas prc.'!AF$5,'IM Price Import'!$A$30:$A$65,0)),"#IM!")</f>
        <v>34.395311783381331</v>
      </c>
      <c r="AG7" s="75">
        <f>IFERROR(INDEX('IM Price Import'!J$30:J$65,MATCH('Gas prc.'!AG$5,'IM Price Import'!$A$30:$A$65,0)),"#IM!")</f>
        <v>35.083218019048957</v>
      </c>
      <c r="AH7" s="75">
        <f>IFERROR(INDEX('IM Price Import'!J$30:J$65,MATCH('Gas prc.'!AH$5,'IM Price Import'!$A$30:$A$65,0)),"#IM!")</f>
        <v>35.784882379429938</v>
      </c>
      <c r="AI7" s="74">
        <f>IFERROR(INDEX('IM Price Import'!J$30:J$65,MATCH('Gas prc.'!AI$5,'IM Price Import'!$A$30:$A$65,0)),"#IM!")</f>
        <v>36.500580027018543</v>
      </c>
      <c r="AJ7" s="75">
        <f>IFERROR(INDEX('IM Price Import'!J$30:J$65,MATCH('Gas prc.'!AJ$5,'IM Price Import'!$A$30:$A$65,0)),"#IM!")</f>
        <v>37.230591627558908</v>
      </c>
      <c r="AK7" s="75">
        <f>IFERROR(INDEX('IM Price Import'!J$30:J$65,MATCH('Gas prc.'!AK$5,'IM Price Import'!$A$30:$A$65,0)),"#IM!")</f>
        <v>37.975203460110087</v>
      </c>
      <c r="AL7" s="75">
        <f>IFERROR(INDEX('IM Price Import'!J$30:J$65,MATCH('Gas prc.'!AL$5,'IM Price Import'!$A$30:$A$65,0)),"#IM!")</f>
        <v>38.734707529312288</v>
      </c>
      <c r="AM7" s="75">
        <f>IFERROR(INDEX('IM Price Import'!J$30:J$65,MATCH('Gas prc.'!AM$5,'IM Price Import'!$A$30:$A$65,0)),"#IM!")</f>
        <v>39.509401679898531</v>
      </c>
      <c r="AN7" s="74">
        <f>IFERROR(INDEX('IM Price Import'!J$30:J$65,MATCH('Gas prc.'!AN$5,'IM Price Import'!$A$30:$A$65,0)),"#IM!")</f>
        <v>40.299589713496509</v>
      </c>
      <c r="AO7" s="75">
        <f>IFERROR(INDEX('IM Price Import'!J$30:J$65,MATCH('Gas prc.'!AO$5,'IM Price Import'!$A$30:$A$65,0)),"#IM!")</f>
        <v>41.105581507766438</v>
      </c>
      <c r="AP7" s="75">
        <f>IFERROR(INDEX('IM Price Import'!J$30:J$65,MATCH('Gas prc.'!AP$5,'IM Price Import'!$A$30:$A$65,0)),"#IM!")</f>
        <v>41.927693137921757</v>
      </c>
      <c r="AQ7" s="75">
        <f>IFERROR(INDEX('IM Price Import'!J$30:J$65,MATCH('Gas prc.'!AQ$5,'IM Price Import'!$A$30:$A$65,0)),"#IM!")</f>
        <v>42.766247000680202</v>
      </c>
      <c r="AR7" s="36"/>
    </row>
    <row r="8" spans="3:44" ht="12.75" customHeight="1" x14ac:dyDescent="0.15">
      <c r="J8" s="34"/>
      <c r="K8" s="75"/>
      <c r="L8" s="75"/>
      <c r="M8" s="75"/>
      <c r="N8" s="75"/>
      <c r="O8" s="74"/>
      <c r="P8" s="75"/>
      <c r="Q8" s="75"/>
      <c r="R8" s="75"/>
      <c r="S8" s="75"/>
      <c r="T8" s="74"/>
      <c r="U8" s="75"/>
      <c r="V8" s="75"/>
      <c r="W8" s="75"/>
      <c r="X8" s="75"/>
      <c r="Y8" s="74"/>
      <c r="Z8" s="75"/>
      <c r="AA8" s="75"/>
      <c r="AB8" s="75"/>
      <c r="AC8" s="75"/>
      <c r="AD8" s="74"/>
      <c r="AE8" s="75"/>
      <c r="AF8" s="75"/>
      <c r="AG8" s="75"/>
      <c r="AH8" s="75"/>
      <c r="AI8" s="74"/>
      <c r="AJ8" s="75"/>
      <c r="AK8" s="75"/>
      <c r="AL8" s="75"/>
      <c r="AM8" s="75"/>
      <c r="AN8" s="74"/>
      <c r="AO8" s="75"/>
      <c r="AP8" s="75"/>
      <c r="AQ8" s="75"/>
    </row>
    <row r="9" spans="3:44" s="94" customFormat="1" ht="12.75" customHeight="1" x14ac:dyDescent="0.15">
      <c r="C9" s="94" t="s">
        <v>209</v>
      </c>
      <c r="J9" s="95">
        <f>IFERROR(INDEX('IM Price Import'!K$30:K$65,MATCH('Gas prc.'!J$5,'IM Price Import'!$A$30:$A$65,0)),"#IM!")</f>
        <v>81.89</v>
      </c>
      <c r="K9" s="96">
        <f>IFERROR(INDEX('IM Price Import'!K$30:K$65,MATCH('Gas prc.'!K$5,'IM Price Import'!$A$30:$A$65,0)),"#IM!")</f>
        <v>84.78</v>
      </c>
      <c r="L9" s="96">
        <f>IFERROR(INDEX('IM Price Import'!K$30:K$65,MATCH('Gas prc.'!L$5,'IM Price Import'!$A$30:$A$65,0)),"#IM!")</f>
        <v>88.03</v>
      </c>
      <c r="M9" s="96">
        <f>IFERROR(INDEX('IM Price Import'!K$30:K$65,MATCH('Gas prc.'!M$5,'IM Price Import'!$A$30:$A$65,0)),"#IM!")</f>
        <v>91.43</v>
      </c>
      <c r="N9" s="96">
        <f>IFERROR(INDEX('IM Price Import'!K$30:K$65,MATCH('Gas prc.'!N$5,'IM Price Import'!$A$30:$A$65,0)),"#IM!")</f>
        <v>94.53</v>
      </c>
      <c r="O9" s="97">
        <f>IFERROR(INDEX('IM Price Import'!K$30:K$65,MATCH('Gas prc.'!O$5,'IM Price Import'!$A$30:$A$65,0)),"#IM!")</f>
        <v>97.63</v>
      </c>
      <c r="P9" s="96">
        <f>IFERROR(INDEX('IM Price Import'!K$30:K$65,MATCH('Gas prc.'!P$5,'IM Price Import'!$A$30:$A$65,0)),"#IM!")</f>
        <v>99.582599999999999</v>
      </c>
      <c r="Q9" s="96">
        <f>IFERROR(INDEX('IM Price Import'!K$30:K$65,MATCH('Gas prc.'!Q$5,'IM Price Import'!$A$30:$A$65,0)),"#IM!")</f>
        <v>101.574252</v>
      </c>
      <c r="R9" s="96">
        <f>IFERROR(INDEX('IM Price Import'!K$30:K$65,MATCH('Gas prc.'!R$5,'IM Price Import'!$A$30:$A$65,0)),"#IM!")</f>
        <v>103.60573703999999</v>
      </c>
      <c r="S9" s="96">
        <f>IFERROR(INDEX('IM Price Import'!K$30:K$65,MATCH('Gas prc.'!S$5,'IM Price Import'!$A$30:$A$65,0)),"#IM!")</f>
        <v>105.6778517808</v>
      </c>
      <c r="T9" s="97">
        <f>IFERROR(INDEX('IM Price Import'!K$30:K$65,MATCH('Gas prc.'!T$5,'IM Price Import'!$A$30:$A$65,0)),"#IM!")</f>
        <v>107.79140881639999</v>
      </c>
      <c r="U9" s="96">
        <f>IFERROR(INDEX('IM Price Import'!K$30:K$65,MATCH('Gas prc.'!U$5,'IM Price Import'!$A$30:$A$65,0)),"#IM!")</f>
        <v>109.9472369927</v>
      </c>
      <c r="V9" s="96">
        <f>IFERROR(INDEX('IM Price Import'!K$30:K$65,MATCH('Gas prc.'!V$5,'IM Price Import'!$A$30:$A$65,0)),"#IM!")</f>
        <v>112.1461817326</v>
      </c>
      <c r="W9" s="96">
        <f>IFERROR(INDEX('IM Price Import'!K$30:K$65,MATCH('Gas prc.'!W$5,'IM Price Import'!$A$30:$A$65,0)),"#IM!")</f>
        <v>114.3891053673</v>
      </c>
      <c r="X9" s="96">
        <f>IFERROR(INDEX('IM Price Import'!K$30:K$65,MATCH('Gas prc.'!X$5,'IM Price Import'!$A$30:$A$65,0)),"#IM!")</f>
        <v>116.67688747459999</v>
      </c>
      <c r="Y9" s="97">
        <f>IFERROR(INDEX('IM Price Import'!K$30:K$65,MATCH('Gas prc.'!Y$5,'IM Price Import'!$A$30:$A$65,0)),"#IM!")</f>
        <v>119.0104252241</v>
      </c>
      <c r="Z9" s="96">
        <f>IFERROR(INDEX('IM Price Import'!K$30:K$65,MATCH('Gas prc.'!Z$5,'IM Price Import'!$A$30:$A$65,0)),"#IM!")</f>
        <v>121.39063372859999</v>
      </c>
      <c r="AA9" s="96">
        <f>IFERROR(INDEX('IM Price Import'!K$30:K$65,MATCH('Gas prc.'!AA$5,'IM Price Import'!$A$30:$A$65,0)),"#IM!")</f>
        <v>123.8184464031</v>
      </c>
      <c r="AB9" s="96">
        <f>IFERROR(INDEX('IM Price Import'!K$30:K$65,MATCH('Gas prc.'!AB$5,'IM Price Import'!$A$30:$A$65,0)),"#IM!")</f>
        <v>126.2948153312</v>
      </c>
      <c r="AC9" s="96">
        <f>IFERROR(INDEX('IM Price Import'!K$30:K$65,MATCH('Gas prc.'!AC$5,'IM Price Import'!$A$30:$A$65,0)),"#IM!")</f>
        <v>128.8207116378</v>
      </c>
      <c r="AD9" s="97">
        <f>IFERROR(INDEX('IM Price Import'!K$30:K$65,MATCH('Gas prc.'!AD$5,'IM Price Import'!$A$30:$A$65,0)),"#IM!")</f>
        <v>131.39712587060001</v>
      </c>
      <c r="AE9" s="96">
        <f>IFERROR(INDEX('IM Price Import'!K$30:K$65,MATCH('Gas prc.'!AE$5,'IM Price Import'!$A$30:$A$65,0)),"#IM!")</f>
        <v>134.02506838799999</v>
      </c>
      <c r="AF9" s="96">
        <f>IFERROR(INDEX('IM Price Import'!K$30:K$65,MATCH('Gas prc.'!AF$5,'IM Price Import'!$A$30:$A$65,0)),"#IM!")</f>
        <v>136.70556975580001</v>
      </c>
      <c r="AG9" s="96">
        <f>IFERROR(INDEX('IM Price Import'!K$30:K$65,MATCH('Gas prc.'!AG$5,'IM Price Import'!$A$30:$A$65,0)),"#IM!")</f>
        <v>139.43968115089999</v>
      </c>
      <c r="AH9" s="96">
        <f>IFERROR(INDEX('IM Price Import'!K$30:K$65,MATCH('Gas prc.'!AH$5,'IM Price Import'!$A$30:$A$65,0)),"#IM!")</f>
        <v>142.22847477389999</v>
      </c>
      <c r="AI9" s="97">
        <f>IFERROR(INDEX('IM Price Import'!K$30:K$65,MATCH('Gas prc.'!AI$5,'IM Price Import'!$A$30:$A$65,0)),"#IM!")</f>
        <v>145.07304426939999</v>
      </c>
      <c r="AJ9" s="96">
        <f>IFERROR(INDEX('IM Price Import'!K$30:K$65,MATCH('Gas prc.'!AJ$5,'IM Price Import'!$A$30:$A$65,0)),"#IM!")</f>
        <v>147.97450515470001</v>
      </c>
      <c r="AK9" s="96">
        <f>IFERROR(INDEX('IM Price Import'!K$30:K$65,MATCH('Gas prc.'!AK$5,'IM Price Import'!$A$30:$A$65,0)),"#IM!")</f>
        <v>150.93399525780001</v>
      </c>
      <c r="AL9" s="96">
        <f>IFERROR(INDEX('IM Price Import'!K$30:K$65,MATCH('Gas prc.'!AL$5,'IM Price Import'!$A$30:$A$65,0)),"#IM!")</f>
        <v>153.95267516300001</v>
      </c>
      <c r="AM9" s="96">
        <f>IFERROR(INDEX('IM Price Import'!K$30:K$65,MATCH('Gas prc.'!AM$5,'IM Price Import'!$A$30:$A$65,0)),"#IM!")</f>
        <v>157.03172866630001</v>
      </c>
      <c r="AN9" s="97">
        <f>IFERROR(INDEX('IM Price Import'!K$30:K$65,MATCH('Gas prc.'!AN$5,'IM Price Import'!$A$30:$A$65,0)),"#IM!")</f>
        <v>160.1723632396</v>
      </c>
      <c r="AO9" s="96">
        <f>IFERROR(INDEX('IM Price Import'!K$30:K$65,MATCH('Gas prc.'!AO$5,'IM Price Import'!$A$30:$A$65,0)),"#IM!")</f>
        <v>163.37581050439999</v>
      </c>
      <c r="AP9" s="96">
        <f>IFERROR(INDEX('IM Price Import'!K$30:K$65,MATCH('Gas prc.'!AP$5,'IM Price Import'!$A$30:$A$65,0)),"#IM!")</f>
        <v>166.64332671450001</v>
      </c>
      <c r="AQ9" s="96">
        <f>IFERROR(INDEX('IM Price Import'!K$30:K$65,MATCH('Gas prc.'!AQ$5,'IM Price Import'!$A$30:$A$65,0)),"#IM!")</f>
        <v>169.9761932488</v>
      </c>
      <c r="AR9" s="98"/>
    </row>
    <row r="10" spans="3:44" ht="12.75" customHeight="1" x14ac:dyDescent="0.15">
      <c r="J10" s="36"/>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36"/>
    </row>
    <row r="11" spans="3:44" x14ac:dyDescent="0.1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row>
    <row r="12" spans="3:44" ht="12.75" customHeight="1" x14ac:dyDescent="0.15">
      <c r="C12" s="30" t="s">
        <v>210</v>
      </c>
      <c r="J12" s="36">
        <f t="shared" ref="J12:AQ12" si="1">J7</f>
        <v>38.524166666666673</v>
      </c>
      <c r="K12" s="75">
        <f t="shared" si="1"/>
        <v>27.9</v>
      </c>
      <c r="L12" s="75">
        <f t="shared" si="1"/>
        <v>23.607500000000002</v>
      </c>
      <c r="M12" s="75">
        <f t="shared" si="1"/>
        <v>22.432500000000001</v>
      </c>
      <c r="N12" s="75">
        <f t="shared" si="1"/>
        <v>24.0822</v>
      </c>
      <c r="O12" s="75">
        <f t="shared" si="1"/>
        <v>24.563844</v>
      </c>
      <c r="P12" s="75">
        <f t="shared" si="1"/>
        <v>25.05512088</v>
      </c>
      <c r="Q12" s="75">
        <f t="shared" si="1"/>
        <v>25.556223297599999</v>
      </c>
      <c r="R12" s="75">
        <f t="shared" si="1"/>
        <v>26.067347763552</v>
      </c>
      <c r="S12" s="75">
        <f t="shared" si="1"/>
        <v>26.588694718823039</v>
      </c>
      <c r="T12" s="75">
        <f t="shared" si="1"/>
        <v>27.120468613199499</v>
      </c>
      <c r="U12" s="75">
        <f t="shared" si="1"/>
        <v>27.662877985463489</v>
      </c>
      <c r="V12" s="75">
        <f t="shared" si="1"/>
        <v>28.216135545172769</v>
      </c>
      <c r="W12" s="75">
        <f t="shared" si="1"/>
        <v>28.780458256076219</v>
      </c>
      <c r="X12" s="75">
        <f t="shared" si="1"/>
        <v>29.356067421197739</v>
      </c>
      <c r="Y12" s="75">
        <f t="shared" si="1"/>
        <v>29.943188769621699</v>
      </c>
      <c r="Z12" s="75">
        <f t="shared" si="1"/>
        <v>30.54205254501414</v>
      </c>
      <c r="AA12" s="75">
        <f t="shared" si="1"/>
        <v>31.152893595914421</v>
      </c>
      <c r="AB12" s="75">
        <f t="shared" si="1"/>
        <v>31.775951467832709</v>
      </c>
      <c r="AC12" s="75">
        <f t="shared" si="1"/>
        <v>32.411470497189363</v>
      </c>
      <c r="AD12" s="75">
        <f t="shared" si="1"/>
        <v>33.059699907133151</v>
      </c>
      <c r="AE12" s="75">
        <f t="shared" si="1"/>
        <v>33.720893905275823</v>
      </c>
      <c r="AF12" s="75">
        <f t="shared" si="1"/>
        <v>34.395311783381331</v>
      </c>
      <c r="AG12" s="75">
        <f t="shared" si="1"/>
        <v>35.083218019048957</v>
      </c>
      <c r="AH12" s="75">
        <f t="shared" si="1"/>
        <v>35.784882379429938</v>
      </c>
      <c r="AI12" s="75">
        <f t="shared" si="1"/>
        <v>36.500580027018543</v>
      </c>
      <c r="AJ12" s="75">
        <f t="shared" si="1"/>
        <v>37.230591627558908</v>
      </c>
      <c r="AK12" s="75">
        <f t="shared" si="1"/>
        <v>37.975203460110087</v>
      </c>
      <c r="AL12" s="75">
        <f t="shared" si="1"/>
        <v>38.734707529312288</v>
      </c>
      <c r="AM12" s="75">
        <f t="shared" si="1"/>
        <v>39.509401679898531</v>
      </c>
      <c r="AN12" s="75">
        <f t="shared" si="1"/>
        <v>40.299589713496509</v>
      </c>
      <c r="AO12" s="75">
        <f t="shared" si="1"/>
        <v>41.105581507766438</v>
      </c>
      <c r="AP12" s="75">
        <f t="shared" si="1"/>
        <v>41.927693137921757</v>
      </c>
      <c r="AQ12" s="75">
        <f t="shared" si="1"/>
        <v>42.766247000680202</v>
      </c>
    </row>
    <row r="13" spans="3:44" x14ac:dyDescent="0.1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row>
    <row r="14" spans="3:44" x14ac:dyDescent="0.15">
      <c r="C14" t="s">
        <v>211</v>
      </c>
      <c r="J14" s="96">
        <f>IFERROR(INDEX('IM Price Import'!M$30:M$65,MATCH('Gas prc.'!J$5,'IM Price Import'!$A$30:$A$65,0)),"#IM!")</f>
        <v>94.935648241494277</v>
      </c>
      <c r="K14" s="96">
        <f>IFERROR(INDEX('IM Price Import'!M$30:M$65,MATCH('Gas prc.'!K$5,'IM Price Import'!$A$30:$A$65,0)),"#IM!")</f>
        <v>77.624437735862074</v>
      </c>
      <c r="L14" s="96">
        <f>IFERROR(INDEX('IM Price Import'!M$30:M$65,MATCH('Gas prc.'!L$5,'IM Price Import'!$A$30:$A$65,0)),"#IM!")</f>
        <v>71.355248416896558</v>
      </c>
      <c r="M14" s="96">
        <f>IFERROR(INDEX('IM Price Import'!M$30:M$65,MATCH('Gas prc.'!M$5,'IM Price Import'!$A$30:$A$65,0)),"#IM!")</f>
        <v>70.513290147931045</v>
      </c>
      <c r="N14" s="96">
        <f>IFERROR(INDEX('IM Price Import'!M$30:M$65,MATCH('Gas prc.'!N$5,'IM Price Import'!$A$30:$A$65,0)),"#IM!")</f>
        <v>74.437042192758625</v>
      </c>
      <c r="O14" s="96">
        <f>IFERROR(INDEX('IM Price Import'!M$30:M$65,MATCH('Gas prc.'!O$5,'IM Price Import'!$A$30:$A$65,0)),"#IM!")</f>
        <v>76.346904582413799</v>
      </c>
      <c r="P14" s="96">
        <f>IFERROR(INDEX('IM Price Import'!M$30:M$65,MATCH('Gas prc.'!P$5,'IM Price Import'!$A$30:$A$65,0)),"#IM!")</f>
        <v>77.873842674062075</v>
      </c>
      <c r="Q14" s="96">
        <f>IFERROR(INDEX('IM Price Import'!M$30:M$65,MATCH('Gas prc.'!Q$5,'IM Price Import'!$A$30:$A$65,0)),"#IM!")</f>
        <v>79.431319527543309</v>
      </c>
      <c r="R14" s="96">
        <f>IFERROR(INDEX('IM Price Import'!M$30:M$65,MATCH('Gas prc.'!R$5,'IM Price Import'!$A$30:$A$65,0)),"#IM!")</f>
        <v>81.01994591809418</v>
      </c>
      <c r="S14" s="96">
        <f>IFERROR(INDEX('IM Price Import'!M$30:M$65,MATCH('Gas prc.'!S$5,'IM Price Import'!$A$30:$A$65,0)),"#IM!")</f>
        <v>82.640344836456052</v>
      </c>
      <c r="T14" s="96">
        <f>IFERROR(INDEX('IM Price Import'!M$30:M$65,MATCH('Gas prc.'!T$5,'IM Price Import'!$A$30:$A$65,0)),"#IM!")</f>
        <v>84.293151733179599</v>
      </c>
      <c r="U14" s="96">
        <f>IFERROR(INDEX('IM Price Import'!M$30:M$65,MATCH('Gas prc.'!U$5,'IM Price Import'!$A$30:$A$65,0)),"#IM!")</f>
        <v>85.979014767833448</v>
      </c>
      <c r="V14" s="96">
        <f>IFERROR(INDEX('IM Price Import'!M$30:M$65,MATCH('Gas prc.'!V$5,'IM Price Import'!$A$30:$A$65,0)),"#IM!")</f>
        <v>87.698595063206156</v>
      </c>
      <c r="W14" s="96">
        <f>IFERROR(INDEX('IM Price Import'!M$30:M$65,MATCH('Gas prc.'!W$5,'IM Price Import'!$A$30:$A$65,0)),"#IM!")</f>
        <v>89.452566964486977</v>
      </c>
      <c r="X14" s="96">
        <f>IFERROR(INDEX('IM Price Import'!M$30:M$65,MATCH('Gas prc.'!X$5,'IM Price Import'!$A$30:$A$65,0)),"#IM!")</f>
        <v>91.241618303760703</v>
      </c>
      <c r="Y14" s="96">
        <f>IFERROR(INDEX('IM Price Import'!M$30:M$65,MATCH('Gas prc.'!Y$5,'IM Price Import'!$A$30:$A$65,0)),"#IM!")</f>
        <v>93.066450669838702</v>
      </c>
      <c r="Z14" s="96">
        <f>IFERROR(INDEX('IM Price Import'!M$30:M$65,MATCH('Gas prc.'!Z$5,'IM Price Import'!$A$30:$A$65,0)),"#IM!")</f>
        <v>94.927779683241766</v>
      </c>
      <c r="AA14" s="96">
        <f>IFERROR(INDEX('IM Price Import'!M$30:M$65,MATCH('Gas prc.'!AA$5,'IM Price Import'!$A$30:$A$65,0)),"#IM!")</f>
        <v>96.826335276881522</v>
      </c>
      <c r="AB14" s="96">
        <f>IFERROR(INDEX('IM Price Import'!M$30:M$65,MATCH('Gas prc.'!AB$5,'IM Price Import'!$A$30:$A$65,0)),"#IM!")</f>
        <v>98.762861982432383</v>
      </c>
      <c r="AC14" s="96">
        <f>IFERROR(INDEX('IM Price Import'!M$30:M$65,MATCH('Gas prc.'!AC$5,'IM Price Import'!$A$30:$A$65,0)),"#IM!")</f>
        <v>100.73811922207267</v>
      </c>
      <c r="AD14" s="96">
        <f>IFERROR(INDEX('IM Price Import'!M$30:M$65,MATCH('Gas prc.'!AD$5,'IM Price Import'!$A$30:$A$65,0)),"#IM!")</f>
        <v>102.75288160652946</v>
      </c>
      <c r="AE14" s="96">
        <f>IFERROR(INDEX('IM Price Import'!M$30:M$65,MATCH('Gas prc.'!AE$5,'IM Price Import'!$A$30:$A$65,0)),"#IM!")</f>
        <v>104.80793923865588</v>
      </c>
      <c r="AF14" s="96">
        <f>IFERROR(INDEX('IM Price Import'!M$30:M$65,MATCH('Gas prc.'!AF$5,'IM Price Import'!$A$30:$A$65,0)),"#IM!")</f>
        <v>106.90409802344291</v>
      </c>
      <c r="AG14" s="96">
        <f>IFERROR(INDEX('IM Price Import'!M$30:M$65,MATCH('Gas prc.'!AG$5,'IM Price Import'!$A$30:$A$65,0)),"#IM!")</f>
        <v>109.04217998390618</v>
      </c>
      <c r="AH14" s="96">
        <f>IFERROR(INDEX('IM Price Import'!M$30:M$65,MATCH('Gas prc.'!AH$5,'IM Price Import'!$A$30:$A$65,0)),"#IM!")</f>
        <v>111.22302358357805</v>
      </c>
      <c r="AI14" s="96">
        <f>IFERROR(INDEX('IM Price Import'!M$30:M$65,MATCH('Gas prc.'!AI$5,'IM Price Import'!$A$30:$A$65,0)),"#IM!")</f>
        <v>113.44748405525728</v>
      </c>
      <c r="AJ14" s="96">
        <f>IFERROR(INDEX('IM Price Import'!M$30:M$65,MATCH('Gas prc.'!AJ$5,'IM Price Import'!$A$30:$A$65,0)),"#IM!")</f>
        <v>115.71643373633179</v>
      </c>
      <c r="AK14" s="96">
        <f>IFERROR(INDEX('IM Price Import'!M$30:M$65,MATCH('Gas prc.'!AK$5,'IM Price Import'!$A$30:$A$65,0)),"#IM!")</f>
        <v>118.03076241106051</v>
      </c>
      <c r="AL14" s="96">
        <f>IFERROR(INDEX('IM Price Import'!M$30:M$65,MATCH('Gas prc.'!AL$5,'IM Price Import'!$A$30:$A$65,0)),"#IM!")</f>
        <v>120.39137765929704</v>
      </c>
      <c r="AM14" s="96">
        <f>IFERROR(INDEX('IM Price Import'!M$30:M$65,MATCH('Gas prc.'!AM$5,'IM Price Import'!$A$30:$A$65,0)),"#IM!")</f>
        <v>122.7992052124969</v>
      </c>
      <c r="AN14" s="96">
        <f>IFERROR(INDEX('IM Price Import'!M$30:M$65,MATCH('Gas prc.'!AN$5,'IM Price Import'!$A$30:$A$65,0)),"#IM!")</f>
        <v>125.2551893167378</v>
      </c>
      <c r="AO14" s="96">
        <f>IFERROR(INDEX('IM Price Import'!M$30:M$65,MATCH('Gas prc.'!AO$5,'IM Price Import'!$A$30:$A$65,0)),"#IM!")</f>
        <v>127.76029310307533</v>
      </c>
      <c r="AP14" s="96">
        <f>IFERROR(INDEX('IM Price Import'!M$30:M$65,MATCH('Gas prc.'!AP$5,'IM Price Import'!$A$30:$A$65,0)),"#IM!")</f>
        <v>130.31549896514099</v>
      </c>
      <c r="AQ14" s="96">
        <f>IFERROR(INDEX('IM Price Import'!M$30:M$65,MATCH('Gas prc.'!AQ$5,'IM Price Import'!$A$30:$A$65,0)),"#IM!")</f>
        <v>132.92180894444732</v>
      </c>
    </row>
    <row r="15" spans="3:44" x14ac:dyDescent="0.15">
      <c r="C15" t="s">
        <v>212</v>
      </c>
      <c r="J15" s="96">
        <f>IFERROR(INDEX('IM Price Import'!N$30:N$65,MATCH('Gas prc.'!J$5,'IM Price Import'!$A$30:$A$65,0)),"#IM!")</f>
        <v>84.246606807236148</v>
      </c>
      <c r="K15" s="96">
        <f>IFERROR(INDEX('IM Price Import'!N$30:N$65,MATCH('Gas prc.'!K$5,'IM Price Import'!$A$30:$A$65,0)),"#IM!")</f>
        <v>65.808216558603121</v>
      </c>
      <c r="L15" s="96">
        <f>IFERROR(INDEX('IM Price Import'!N$30:N$65,MATCH('Gas prc.'!L$5,'IM Price Import'!$A$30:$A$65,0)),"#IM!")</f>
        <v>57.926201408946987</v>
      </c>
      <c r="M15" s="96">
        <f>IFERROR(INDEX('IM Price Import'!N$30:N$65,MATCH('Gas prc.'!M$5,'IM Price Import'!$A$30:$A$65,0)),"#IM!")</f>
        <v>52.917039682501589</v>
      </c>
      <c r="N15" s="96">
        <f>IFERROR(INDEX('IM Price Import'!N$30:N$65,MATCH('Gas prc.'!N$5,'IM Price Import'!$A$30:$A$65,0)),"#IM!")</f>
        <v>58.786147412985848</v>
      </c>
      <c r="O15" s="96">
        <f>IFERROR(INDEX('IM Price Import'!N$30:N$65,MATCH('Gas prc.'!O$5,'IM Price Import'!$A$30:$A$65,0)),"#IM!")</f>
        <v>62.582385096017958</v>
      </c>
      <c r="P15" s="96">
        <f>IFERROR(INDEX('IM Price Import'!N$30:N$65,MATCH('Gas prc.'!P$5,'IM Price Import'!$A$30:$A$65,0)),"#IM!")</f>
        <v>65.882851174365342</v>
      </c>
      <c r="Q15" s="96">
        <f>IFERROR(INDEX('IM Price Import'!N$30:N$65,MATCH('Gas prc.'!Q$5,'IM Price Import'!$A$30:$A$65,0)),"#IM!")</f>
        <v>67.44032802784659</v>
      </c>
      <c r="R15" s="96">
        <f>IFERROR(INDEX('IM Price Import'!N$30:N$65,MATCH('Gas prc.'!R$5,'IM Price Import'!$A$30:$A$65,0)),"#IM!")</f>
        <v>71.383815725095175</v>
      </c>
      <c r="S15" s="96">
        <f>IFERROR(INDEX('IM Price Import'!N$30:N$65,MATCH('Gas prc.'!S$5,'IM Price Import'!$A$30:$A$65,0)),"#IM!")</f>
        <v>72.996326701470323</v>
      </c>
      <c r="T15" s="96">
        <f>IFERROR(INDEX('IM Price Import'!N$30:N$65,MATCH('Gas prc.'!T$5,'IM Price Import'!$A$30:$A$65,0)),"#IM!")</f>
        <v>75.54846781538194</v>
      </c>
      <c r="U15" s="96">
        <f>IFERROR(INDEX('IM Price Import'!N$30:N$65,MATCH('Gas prc.'!U$5,'IM Price Import'!$A$30:$A$65,0)),"#IM!")</f>
        <v>76.342884574834457</v>
      </c>
      <c r="V15" s="96">
        <f>IFERROR(INDEX('IM Price Import'!N$30:N$65,MATCH('Gas prc.'!V$5,'IM Price Import'!$A$30:$A$65,0)),"#IM!")</f>
        <v>75.707603563509437</v>
      </c>
      <c r="W15" s="96">
        <f>IFERROR(INDEX('IM Price Import'!N$30:N$65,MATCH('Gas prc.'!W$5,'IM Price Import'!$A$30:$A$65,0)),"#IM!")</f>
        <v>79.57323140048976</v>
      </c>
      <c r="X15" s="96">
        <f>IFERROR(INDEX('IM Price Import'!N$30:N$65,MATCH('Gas prc.'!X$5,'IM Price Import'!$A$30:$A$65,0)),"#IM!")</f>
        <v>83.662764247951927</v>
      </c>
      <c r="Y15" s="96">
        <f>IFERROR(INDEX('IM Price Import'!N$30:N$65,MATCH('Gas prc.'!Y$5,'IM Price Import'!$A$30:$A$65,0)),"#IM!")</f>
        <v>85.487596614029925</v>
      </c>
      <c r="Z15" s="96">
        <f>IFERROR(INDEX('IM Price Import'!N$30:N$65,MATCH('Gas prc.'!Z$5,'IM Price Import'!$A$30:$A$65,0)),"#IM!")</f>
        <v>86.387151346656651</v>
      </c>
      <c r="AA15" s="96">
        <f>IFERROR(INDEX('IM Price Import'!N$30:N$65,MATCH('Gas prc.'!AA$5,'IM Price Import'!$A$30:$A$65,0)),"#IM!")</f>
        <v>85.718994905958951</v>
      </c>
      <c r="AB15" s="96">
        <f>IFERROR(INDEX('IM Price Import'!N$30:N$65,MATCH('Gas prc.'!AB$5,'IM Price Import'!$A$30:$A$65,0)),"#IM!")</f>
        <v>86.734292443189261</v>
      </c>
      <c r="AC15" s="96">
        <f>IFERROR(INDEX('IM Price Import'!N$30:N$65,MATCH('Gas prc.'!AC$5,'IM Price Import'!$A$30:$A$65,0)),"#IM!")</f>
        <v>88.709549682800002</v>
      </c>
      <c r="AD15" s="96">
        <f>IFERROR(INDEX('IM Price Import'!N$30:N$65,MATCH('Gas prc.'!AD$5,'IM Price Import'!$A$30:$A$65,0)),"#IM!")</f>
        <v>90.724312067300005</v>
      </c>
      <c r="AE15" s="96">
        <f>IFERROR(INDEX('IM Price Import'!N$30:N$65,MATCH('Gas prc.'!AE$5,'IM Price Import'!$A$30:$A$65,0)),"#IM!")</f>
        <v>92.779369699399993</v>
      </c>
      <c r="AF15" s="96">
        <f>IFERROR(INDEX('IM Price Import'!N$30:N$65,MATCH('Gas prc.'!AF$5,'IM Price Import'!$A$30:$A$65,0)),"#IM!")</f>
        <v>94.875528484200004</v>
      </c>
      <c r="AG15" s="96">
        <f>IFERROR(INDEX('IM Price Import'!N$30:N$65,MATCH('Gas prc.'!AG$5,'IM Price Import'!$A$30:$A$65,0)),"#IM!")</f>
        <v>97.013610444700006</v>
      </c>
      <c r="AH15" s="96">
        <f>IFERROR(INDEX('IM Price Import'!N$30:N$65,MATCH('Gas prc.'!AH$5,'IM Price Import'!$A$30:$A$65,0)),"#IM!")</f>
        <v>99.194454044300002</v>
      </c>
      <c r="AI15" s="96">
        <f>IFERROR(INDEX('IM Price Import'!N$30:N$65,MATCH('Gas prc.'!AI$5,'IM Price Import'!$A$30:$A$65,0)),"#IM!")</f>
        <v>101.418914516</v>
      </c>
      <c r="AJ15" s="96">
        <f>IFERROR(INDEX('IM Price Import'!N$30:N$65,MATCH('Gas prc.'!AJ$5,'IM Price Import'!$A$30:$A$65,0)),"#IM!")</f>
        <v>103.6878641971</v>
      </c>
      <c r="AK15" s="96">
        <f>IFERROR(INDEX('IM Price Import'!N$30:N$65,MATCH('Gas prc.'!AK$5,'IM Price Import'!$A$30:$A$65,0)),"#IM!")</f>
        <v>106.00219287180001</v>
      </c>
      <c r="AL15" s="96">
        <f>IFERROR(INDEX('IM Price Import'!N$30:N$65,MATCH('Gas prc.'!AL$5,'IM Price Import'!$A$30:$A$65,0)),"#IM!")</f>
        <v>108.3628081201</v>
      </c>
      <c r="AM15" s="96">
        <f>IFERROR(INDEX('IM Price Import'!N$30:N$65,MATCH('Gas prc.'!AM$5,'IM Price Import'!$A$30:$A$65,0)),"#IM!")</f>
        <v>110.77063567330001</v>
      </c>
      <c r="AN15" s="96">
        <f>IFERROR(INDEX('IM Price Import'!N$30:N$65,MATCH('Gas prc.'!AN$5,'IM Price Import'!$A$30:$A$65,0)),"#IM!")</f>
        <v>113.22661977750001</v>
      </c>
      <c r="AO15" s="96">
        <f>IFERROR(INDEX('IM Price Import'!N$30:N$65,MATCH('Gas prc.'!AO$5,'IM Price Import'!$A$30:$A$65,0)),"#IM!")</f>
        <v>115.7317235638</v>
      </c>
      <c r="AP15" s="96">
        <f>IFERROR(INDEX('IM Price Import'!N$30:N$65,MATCH('Gas prc.'!AP$5,'IM Price Import'!$A$30:$A$65,0)),"#IM!")</f>
        <v>118.2869294259</v>
      </c>
      <c r="AQ15" s="96">
        <f>IFERROR(INDEX('IM Price Import'!N$30:N$65,MATCH('Gas prc.'!AQ$5,'IM Price Import'!$A$30:$A$65,0)),"#IM!")</f>
        <v>120.89323940520001</v>
      </c>
    </row>
    <row r="16" spans="3:44" x14ac:dyDescent="0.15">
      <c r="J16" s="75"/>
    </row>
    <row r="17" spans="3:43" x14ac:dyDescent="0.15">
      <c r="C17" t="s">
        <v>213</v>
      </c>
      <c r="J17" s="105">
        <f>IFERROR(INDEX('IM Price Import'!O$30:O$65,MATCH('Gas prc.'!J$5,'IM Price Import'!$A$30:$A$65,0)),"#IM!")</f>
        <v>0.33849150958904112</v>
      </c>
      <c r="K17" s="105">
        <f>IFERROR(INDEX('IM Price Import'!O$30:O$65,MATCH('Gas prc.'!K$5,'IM Price Import'!$A$30:$A$65,0)),"#IM!")</f>
        <v>0.33181582786885239</v>
      </c>
      <c r="L17" s="105">
        <f>IFERROR(INDEX('IM Price Import'!O$30:O$65,MATCH('Gas prc.'!L$5,'IM Price Import'!$A$30:$A$65,0)),"#IM!")</f>
        <v>0.31676670205479451</v>
      </c>
      <c r="M17" s="105">
        <f>IFERROR(INDEX('IM Price Import'!O$30:O$65,MATCH('Gas prc.'!M$5,'IM Price Import'!$A$30:$A$65,0)),"#IM!")</f>
        <v>0.29840140616438349</v>
      </c>
      <c r="N17" s="105">
        <f>IFERROR(INDEX('IM Price Import'!O$30:O$65,MATCH('Gas prc.'!N$5,'IM Price Import'!$A$30:$A$65,0)),"#IM!")</f>
        <v>0.30612774246575342</v>
      </c>
      <c r="O17" s="105">
        <f>IFERROR(INDEX('IM Price Import'!O$30:O$65,MATCH('Gas prc.'!O$5,'IM Price Import'!$A$30:$A$65,0)),"#IM!")</f>
        <v>0.30208814549180329</v>
      </c>
      <c r="P17" s="105">
        <f>IFERROR(INDEX('IM Price Import'!O$30:O$65,MATCH('Gas prc.'!P$5,'IM Price Import'!$A$30:$A$65,0)),"#IM!")</f>
        <v>0.2993095349315068</v>
      </c>
      <c r="Q17" s="105">
        <f>IFERROR(INDEX('IM Price Import'!O$30:O$65,MATCH('Gas prc.'!Q$5,'IM Price Import'!$A$30:$A$65,0)),"#IM!")</f>
        <v>0.2993095349315068</v>
      </c>
      <c r="R17" s="105">
        <f>IFERROR(INDEX('IM Price Import'!O$30:O$65,MATCH('Gas prc.'!R$5,'IM Price Import'!$A$30:$A$65,0)),"#IM!")</f>
        <v>0.3099484945205479</v>
      </c>
      <c r="S17" s="105">
        <f>IFERROR(INDEX('IM Price Import'!O$30:O$65,MATCH('Gas prc.'!S$5,'IM Price Import'!$A$30:$A$65,0)),"#IM!")</f>
        <v>0.31019091188524578</v>
      </c>
      <c r="T17" s="105">
        <f>IFERROR(INDEX('IM Price Import'!O$30:O$65,MATCH('Gas prc.'!T$5,'IM Price Import'!$A$30:$A$65,0)),"#IM!")</f>
        <v>0.30868462876712333</v>
      </c>
      <c r="U17" s="105">
        <f>IFERROR(INDEX('IM Price Import'!O$30:O$65,MATCH('Gas prc.'!U$5,'IM Price Import'!$A$30:$A$65,0)),"#IM!")</f>
        <v>0.3099484945205479</v>
      </c>
      <c r="V17" s="105">
        <f>IFERROR(INDEX('IM Price Import'!O$30:O$65,MATCH('Gas prc.'!V$5,'IM Price Import'!$A$30:$A$65,0)),"#IM!")</f>
        <v>0.2993095349315068</v>
      </c>
      <c r="W17" s="105">
        <f>IFERROR(INDEX('IM Price Import'!O$30:O$65,MATCH('Gas prc.'!W$5,'IM Price Import'!$A$30:$A$65,0)),"#IM!")</f>
        <v>0.2952885669398907</v>
      </c>
      <c r="X17" s="105">
        <f>IFERROR(INDEX('IM Price Import'!O$30:O$65,MATCH('Gas prc.'!X$5,'IM Price Import'!$A$30:$A$65,0)),"#IM!")</f>
        <v>0.29074789246575339</v>
      </c>
      <c r="Y17" s="105">
        <f>IFERROR(INDEX('IM Price Import'!O$30:O$65,MATCH('Gas prc.'!Y$5,'IM Price Import'!$A$30:$A$65,0)),"#IM!")</f>
        <v>0.29074789246575339</v>
      </c>
      <c r="Z17" s="105">
        <f>IFERROR(INDEX('IM Price Import'!O$30:O$65,MATCH('Gas prc.'!Z$5,'IM Price Import'!$A$30:$A$65,0)),"#IM!")</f>
        <v>0.29201175821917807</v>
      </c>
      <c r="AA17" s="105">
        <f>IFERROR(INDEX('IM Price Import'!O$30:O$65,MATCH('Gas prc.'!AA$5,'IM Price Import'!$A$30:$A$65,0)),"#IM!")</f>
        <v>0.28169329166666668</v>
      </c>
      <c r="AB17" s="105">
        <f>IFERROR(INDEX('IM Price Import'!O$30:O$65,MATCH('Gas prc.'!AB$5,'IM Price Import'!$A$30:$A$65,0)),"#IM!")</f>
        <v>0.28273983835616451</v>
      </c>
      <c r="AC17" s="105">
        <f>IFERROR(INDEX('IM Price Import'!O$30:O$65,MATCH('Gas prc.'!AC$5,'IM Price Import'!$A$30:$A$65,0)),"#IM!")</f>
        <v>0.28273983835616451</v>
      </c>
      <c r="AD17" s="105">
        <f>IFERROR(INDEX('IM Price Import'!O$30:O$65,MATCH('Gas prc.'!AD$5,'IM Price Import'!$A$30:$A$65,0)),"#IM!")</f>
        <v>0.28273983835616451</v>
      </c>
      <c r="AE17" s="105">
        <f>IFERROR(INDEX('IM Price Import'!O$30:O$65,MATCH('Gas prc.'!AE$5,'IM Price Import'!$A$30:$A$65,0)),"#IM!")</f>
        <v>0.28273983835616451</v>
      </c>
      <c r="AF17" s="105">
        <f>IFERROR(INDEX('IM Price Import'!O$30:O$65,MATCH('Gas prc.'!AF$5,'IM Price Import'!$A$30:$A$65,0)),"#IM!")</f>
        <v>0.28273983835616451</v>
      </c>
      <c r="AG17" s="105">
        <f>IFERROR(INDEX('IM Price Import'!O$30:O$65,MATCH('Gas prc.'!AG$5,'IM Price Import'!$A$30:$A$65,0)),"#IM!")</f>
        <v>0.28273983835616451</v>
      </c>
      <c r="AH17" s="105">
        <f>IFERROR(INDEX('IM Price Import'!O$30:O$65,MATCH('Gas prc.'!AH$5,'IM Price Import'!$A$30:$A$65,0)),"#IM!")</f>
        <v>0.28273983835616451</v>
      </c>
      <c r="AI17" s="105">
        <f>IFERROR(INDEX('IM Price Import'!O$30:O$65,MATCH('Gas prc.'!AI$5,'IM Price Import'!$A$30:$A$65,0)),"#IM!")</f>
        <v>0.28273983835616451</v>
      </c>
      <c r="AJ17" s="105">
        <f>IFERROR(INDEX('IM Price Import'!O$30:O$65,MATCH('Gas prc.'!AJ$5,'IM Price Import'!$A$30:$A$65,0)),"#IM!")</f>
        <v>0.28273983835616451</v>
      </c>
      <c r="AK17" s="105">
        <f>IFERROR(INDEX('IM Price Import'!O$30:O$65,MATCH('Gas prc.'!AK$5,'IM Price Import'!$A$30:$A$65,0)),"#IM!")</f>
        <v>0.28273983835616451</v>
      </c>
      <c r="AL17" s="105">
        <f>IFERROR(INDEX('IM Price Import'!O$30:O$65,MATCH('Gas prc.'!AL$5,'IM Price Import'!$A$30:$A$65,0)),"#IM!")</f>
        <v>0.28273983835616451</v>
      </c>
      <c r="AM17" s="105">
        <f>IFERROR(INDEX('IM Price Import'!O$30:O$65,MATCH('Gas prc.'!AM$5,'IM Price Import'!$A$30:$A$65,0)),"#IM!")</f>
        <v>0.28273983835616451</v>
      </c>
      <c r="AN17" s="105">
        <f>IFERROR(INDEX('IM Price Import'!O$30:O$65,MATCH('Gas prc.'!AN$5,'IM Price Import'!$A$30:$A$65,0)),"#IM!")</f>
        <v>0.28273983835616451</v>
      </c>
      <c r="AO17" s="105">
        <f>IFERROR(INDEX('IM Price Import'!O$30:O$65,MATCH('Gas prc.'!AO$5,'IM Price Import'!$A$30:$A$65,0)),"#IM!")</f>
        <v>0.28273983835616451</v>
      </c>
      <c r="AP17" s="105">
        <f>IFERROR(INDEX('IM Price Import'!O$30:O$65,MATCH('Gas prc.'!AP$5,'IM Price Import'!$A$30:$A$65,0)),"#IM!")</f>
        <v>0.28273983835616451</v>
      </c>
      <c r="AQ17" s="105">
        <f>IFERROR(INDEX('IM Price Import'!O$30:O$65,MATCH('Gas prc.'!AQ$5,'IM Price Import'!$A$30:$A$65,0)),"#IM!")</f>
        <v>0.28273983835616451</v>
      </c>
    </row>
    <row r="18" spans="3:43" x14ac:dyDescent="0.15">
      <c r="C18" t="s">
        <v>214</v>
      </c>
      <c r="J18" s="105">
        <f>IFERROR(INDEX('IM Price Import'!P$30:P$65,MATCH('Gas prc.'!J$5,'IM Price Import'!$A$30:$A$65,0)),"#IM!")</f>
        <v>0.52795574931506861</v>
      </c>
      <c r="K18" s="105">
        <f>IFERROR(INDEX('IM Price Import'!P$30:P$65,MATCH('Gas prc.'!K$5,'IM Price Import'!$A$30:$A$65,0)),"#IM!")</f>
        <v>0.51243263387978155</v>
      </c>
      <c r="L18" s="105">
        <f>IFERROR(INDEX('IM Price Import'!P$30:P$65,MATCH('Gas prc.'!L$5,'IM Price Import'!$A$30:$A$65,0)),"#IM!")</f>
        <v>0.48237677602739731</v>
      </c>
      <c r="M18" s="105">
        <f>IFERROR(INDEX('IM Price Import'!P$30:P$65,MATCH('Gas prc.'!M$5,'IM Price Import'!$A$30:$A$65,0)),"#IM!")</f>
        <v>0.49462163630136979</v>
      </c>
      <c r="N18" s="105">
        <f>IFERROR(INDEX('IM Price Import'!P$30:P$65,MATCH('Gas prc.'!N$5,'IM Price Import'!$A$30:$A$65,0)),"#IM!")</f>
        <v>0.48860485342465748</v>
      </c>
      <c r="O18" s="105">
        <f>IFERROR(INDEX('IM Price Import'!P$30:P$65,MATCH('Gas prc.'!O$5,'IM Price Import'!$A$30:$A$65,0)),"#IM!")</f>
        <v>0.46853773019125688</v>
      </c>
      <c r="P18" s="105">
        <f>IFERROR(INDEX('IM Price Import'!P$30:P$65,MATCH('Gas prc.'!P$5,'IM Price Import'!$A$30:$A$65,0)),"#IM!")</f>
        <v>0.47103758561643833</v>
      </c>
      <c r="Q18" s="105">
        <f>IFERROR(INDEX('IM Price Import'!P$30:P$65,MATCH('Gas prc.'!Q$5,'IM Price Import'!$A$30:$A$65,0)),"#IM!")</f>
        <v>0.47103758561643833</v>
      </c>
      <c r="R18" s="105">
        <f>IFERROR(INDEX('IM Price Import'!P$30:P$65,MATCH('Gas prc.'!R$5,'IM Price Import'!$A$30:$A$65,0)),"#IM!")</f>
        <v>0.4648095082191781</v>
      </c>
      <c r="S18" s="105">
        <f>IFERROR(INDEX('IM Price Import'!P$30:P$65,MATCH('Gas prc.'!S$5,'IM Price Import'!$A$30:$A$65,0)),"#IM!")</f>
        <v>0.46512004439890708</v>
      </c>
      <c r="T18" s="105">
        <f>IFERROR(INDEX('IM Price Import'!P$30:P$65,MATCH('Gas prc.'!T$5,'IM Price Import'!$A$30:$A$65,0)),"#IM!")</f>
        <v>0.46621767534246578</v>
      </c>
      <c r="U18" s="105">
        <f>IFERROR(INDEX('IM Price Import'!P$30:P$65,MATCH('Gas prc.'!U$5,'IM Price Import'!$A$30:$A$65,0)),"#IM!")</f>
        <v>0.4648095082191781</v>
      </c>
      <c r="V18" s="105">
        <f>IFERROR(INDEX('IM Price Import'!P$30:P$65,MATCH('Gas prc.'!V$5,'IM Price Import'!$A$30:$A$65,0)),"#IM!")</f>
        <v>0.47103758561643833</v>
      </c>
      <c r="W18" s="105">
        <f>IFERROR(INDEX('IM Price Import'!P$30:P$65,MATCH('Gas prc.'!W$5,'IM Price Import'!$A$30:$A$65,0)),"#IM!")</f>
        <v>0.4510184603825137</v>
      </c>
      <c r="X18" s="105">
        <f>IFERROR(INDEX('IM Price Import'!P$30:P$65,MATCH('Gas prc.'!X$5,'IM Price Import'!$A$30:$A$65,0)),"#IM!")</f>
        <v>0.43052238835616452</v>
      </c>
      <c r="Y18" s="105">
        <f>IFERROR(INDEX('IM Price Import'!P$30:P$65,MATCH('Gas prc.'!Y$5,'IM Price Import'!$A$30:$A$65,0)),"#IM!")</f>
        <v>0.43052238835616452</v>
      </c>
      <c r="Z18" s="105">
        <f>IFERROR(INDEX('IM Price Import'!P$30:P$65,MATCH('Gas prc.'!Z$5,'IM Price Import'!$A$30:$A$65,0)),"#IM!")</f>
        <v>0.42911422123287668</v>
      </c>
      <c r="AA18" s="105">
        <f>IFERROR(INDEX('IM Price Import'!P$30:P$65,MATCH('Gas prc.'!AA$5,'IM Price Import'!$A$30:$A$65,0)),"#IM!")</f>
        <v>0.43573334631147548</v>
      </c>
      <c r="AB18" s="105">
        <f>IFERROR(INDEX('IM Price Import'!P$30:P$65,MATCH('Gas prc.'!AB$5,'IM Price Import'!$A$30:$A$65,0)),"#IM!")</f>
        <v>0.43388099726027402</v>
      </c>
      <c r="AC18" s="105">
        <f>IFERROR(INDEX('IM Price Import'!P$30:P$65,MATCH('Gas prc.'!AC$5,'IM Price Import'!$A$30:$A$65,0)),"#IM!")</f>
        <v>0.43388099726027402</v>
      </c>
      <c r="AD18" s="105">
        <f>IFERROR(INDEX('IM Price Import'!P$30:P$65,MATCH('Gas prc.'!AD$5,'IM Price Import'!$A$30:$A$65,0)),"#IM!")</f>
        <v>0.43388099726027402</v>
      </c>
      <c r="AE18" s="105">
        <f>IFERROR(INDEX('IM Price Import'!P$30:P$65,MATCH('Gas prc.'!AE$5,'IM Price Import'!$A$30:$A$65,0)),"#IM!")</f>
        <v>0.43388099726027402</v>
      </c>
      <c r="AF18" s="105">
        <f>IFERROR(INDEX('IM Price Import'!P$30:P$65,MATCH('Gas prc.'!AF$5,'IM Price Import'!$A$30:$A$65,0)),"#IM!")</f>
        <v>0.43388099726027402</v>
      </c>
      <c r="AG18" s="105">
        <f>IFERROR(INDEX('IM Price Import'!P$30:P$65,MATCH('Gas prc.'!AG$5,'IM Price Import'!$A$30:$A$65,0)),"#IM!")</f>
        <v>0.43388099726027402</v>
      </c>
      <c r="AH18" s="105">
        <f>IFERROR(INDEX('IM Price Import'!P$30:P$65,MATCH('Gas prc.'!AH$5,'IM Price Import'!$A$30:$A$65,0)),"#IM!")</f>
        <v>0.43388099726027402</v>
      </c>
      <c r="AI18" s="105">
        <f>IFERROR(INDEX('IM Price Import'!P$30:P$65,MATCH('Gas prc.'!AI$5,'IM Price Import'!$A$30:$A$65,0)),"#IM!")</f>
        <v>0.43388099726027402</v>
      </c>
      <c r="AJ18" s="105">
        <f>IFERROR(INDEX('IM Price Import'!P$30:P$65,MATCH('Gas prc.'!AJ$5,'IM Price Import'!$A$30:$A$65,0)),"#IM!")</f>
        <v>0.43388099726027402</v>
      </c>
      <c r="AK18" s="105">
        <f>IFERROR(INDEX('IM Price Import'!P$30:P$65,MATCH('Gas prc.'!AK$5,'IM Price Import'!$A$30:$A$65,0)),"#IM!")</f>
        <v>0.43388099726027402</v>
      </c>
      <c r="AL18" s="105">
        <f>IFERROR(INDEX('IM Price Import'!P$30:P$65,MATCH('Gas prc.'!AL$5,'IM Price Import'!$A$30:$A$65,0)),"#IM!")</f>
        <v>0.43388099726027402</v>
      </c>
      <c r="AM18" s="105">
        <f>IFERROR(INDEX('IM Price Import'!P$30:P$65,MATCH('Gas prc.'!AM$5,'IM Price Import'!$A$30:$A$65,0)),"#IM!")</f>
        <v>0.43388099726027402</v>
      </c>
      <c r="AN18" s="105">
        <f>IFERROR(INDEX('IM Price Import'!P$30:P$65,MATCH('Gas prc.'!AN$5,'IM Price Import'!$A$30:$A$65,0)),"#IM!")</f>
        <v>0.43388099726027402</v>
      </c>
      <c r="AO18" s="105">
        <f>IFERROR(INDEX('IM Price Import'!P$30:P$65,MATCH('Gas prc.'!AO$5,'IM Price Import'!$A$30:$A$65,0)),"#IM!")</f>
        <v>0.43388099726027402</v>
      </c>
      <c r="AP18" s="105">
        <f>IFERROR(INDEX('IM Price Import'!P$30:P$65,MATCH('Gas prc.'!AP$5,'IM Price Import'!$A$30:$A$65,0)),"#IM!")</f>
        <v>0.43388099726027402</v>
      </c>
      <c r="AQ18" s="105">
        <f>IFERROR(INDEX('IM Price Import'!P$30:P$65,MATCH('Gas prc.'!AQ$5,'IM Price Import'!$A$30:$A$65,0)),"#IM!")</f>
        <v>0.43388099726027402</v>
      </c>
    </row>
    <row r="19" spans="3:43" x14ac:dyDescent="0.15">
      <c r="C19" t="s">
        <v>215</v>
      </c>
      <c r="J19" s="105">
        <f>IFERROR(INDEX('IM Price Import'!Q$30:Q$65,MATCH('Gas prc.'!J$5,'IM Price Import'!$A$30:$A$65,0)),"#IM!")</f>
        <v>0.13355274109589041</v>
      </c>
      <c r="K19" s="105">
        <f>IFERROR(INDEX('IM Price Import'!Q$30:Q$65,MATCH('Gas prc.'!K$5,'IM Price Import'!$A$30:$A$65,0)),"#IM!")</f>
        <v>0.1557515382513662</v>
      </c>
      <c r="L19" s="105">
        <f>IFERROR(INDEX('IM Price Import'!Q$30:Q$65,MATCH('Gas prc.'!L$5,'IM Price Import'!$A$30:$A$65,0)),"#IM!")</f>
        <v>0.2008565219178082</v>
      </c>
      <c r="M19" s="105">
        <f>IFERROR(INDEX('IM Price Import'!Q$30:Q$65,MATCH('Gas prc.'!M$5,'IM Price Import'!$A$30:$A$65,0)),"#IM!")</f>
        <v>0.20697695753424661</v>
      </c>
      <c r="N19" s="105">
        <f>IFERROR(INDEX('IM Price Import'!Q$30:Q$65,MATCH('Gas prc.'!N$5,'IM Price Import'!$A$30:$A$65,0)),"#IM!")</f>
        <v>0.20526740410958899</v>
      </c>
      <c r="O19" s="105">
        <f>IFERROR(INDEX('IM Price Import'!Q$30:Q$65,MATCH('Gas prc.'!O$5,'IM Price Import'!$A$30:$A$65,0)),"#IM!")</f>
        <v>0.2293741243169399</v>
      </c>
      <c r="P19" s="105">
        <f>IFERROR(INDEX('IM Price Import'!Q$30:Q$65,MATCH('Gas prc.'!P$5,'IM Price Import'!$A$30:$A$65,0)),"#IM!")</f>
        <v>0.22965287945205479</v>
      </c>
      <c r="Q19" s="105">
        <f>IFERROR(INDEX('IM Price Import'!Q$30:Q$65,MATCH('Gas prc.'!Q$5,'IM Price Import'!$A$30:$A$65,0)),"#IM!")</f>
        <v>0.22965287945205479</v>
      </c>
      <c r="R19" s="105">
        <f>IFERROR(INDEX('IM Price Import'!Q$30:Q$65,MATCH('Gas prc.'!R$5,'IM Price Import'!$A$30:$A$65,0)),"#IM!")</f>
        <v>0.225241997260274</v>
      </c>
      <c r="S19" s="105">
        <f>IFERROR(INDEX('IM Price Import'!Q$30:Q$65,MATCH('Gas prc.'!S$5,'IM Price Import'!$A$30:$A$65,0)),"#IM!")</f>
        <v>0.224689043715847</v>
      </c>
      <c r="T19" s="105">
        <f>IFERROR(INDEX('IM Price Import'!Q$30:Q$65,MATCH('Gas prc.'!T$5,'IM Price Import'!$A$30:$A$65,0)),"#IM!")</f>
        <v>0.22509769589041101</v>
      </c>
      <c r="U19" s="105">
        <f>IFERROR(INDEX('IM Price Import'!Q$30:Q$65,MATCH('Gas prc.'!U$5,'IM Price Import'!$A$30:$A$65,0)),"#IM!")</f>
        <v>0.225241997260274</v>
      </c>
      <c r="V19" s="105">
        <f>IFERROR(INDEX('IM Price Import'!Q$30:Q$65,MATCH('Gas prc.'!V$5,'IM Price Import'!$A$30:$A$65,0)),"#IM!")</f>
        <v>0.22965287945205479</v>
      </c>
      <c r="W19" s="105">
        <f>IFERROR(INDEX('IM Price Import'!Q$30:Q$65,MATCH('Gas prc.'!W$5,'IM Price Import'!$A$30:$A$65,0)),"#IM!")</f>
        <v>0.25369297267759572</v>
      </c>
      <c r="X19" s="105">
        <f>IFERROR(INDEX('IM Price Import'!Q$30:Q$65,MATCH('Gas prc.'!X$5,'IM Price Import'!$A$30:$A$65,0)),"#IM!")</f>
        <v>0.2787297191780822</v>
      </c>
      <c r="Y19" s="105">
        <f>IFERROR(INDEX('IM Price Import'!Q$30:Q$65,MATCH('Gas prc.'!Y$5,'IM Price Import'!$A$30:$A$65,0)),"#IM!")</f>
        <v>0.2787297191780822</v>
      </c>
      <c r="Z19" s="105">
        <f>IFERROR(INDEX('IM Price Import'!Q$30:Q$65,MATCH('Gas prc.'!Z$5,'IM Price Import'!$A$30:$A$65,0)),"#IM!")</f>
        <v>0.27887402054794519</v>
      </c>
      <c r="AA19" s="105">
        <f>IFERROR(INDEX('IM Price Import'!Q$30:Q$65,MATCH('Gas prc.'!AA$5,'IM Price Import'!$A$30:$A$65,0)),"#IM!")</f>
        <v>0.28257336202185801</v>
      </c>
      <c r="AB19" s="105">
        <f>IFERROR(INDEX('IM Price Import'!Q$30:Q$65,MATCH('Gas prc.'!AB$5,'IM Price Import'!$A$30:$A$65,0)),"#IM!")</f>
        <v>0.28337916438356159</v>
      </c>
      <c r="AC19" s="105">
        <f>IFERROR(INDEX('IM Price Import'!Q$30:Q$65,MATCH('Gas prc.'!AC$5,'IM Price Import'!$A$30:$A$65,0)),"#IM!")</f>
        <v>0.28337916438356159</v>
      </c>
      <c r="AD19" s="105">
        <f>IFERROR(INDEX('IM Price Import'!Q$30:Q$65,MATCH('Gas prc.'!AD$5,'IM Price Import'!$A$30:$A$65,0)),"#IM!")</f>
        <v>0.28337916438356159</v>
      </c>
      <c r="AE19" s="105">
        <f>IFERROR(INDEX('IM Price Import'!Q$30:Q$65,MATCH('Gas prc.'!AE$5,'IM Price Import'!$A$30:$A$65,0)),"#IM!")</f>
        <v>0.28337916438356159</v>
      </c>
      <c r="AF19" s="105">
        <f>IFERROR(INDEX('IM Price Import'!Q$30:Q$65,MATCH('Gas prc.'!AF$5,'IM Price Import'!$A$30:$A$65,0)),"#IM!")</f>
        <v>0.28337916438356159</v>
      </c>
      <c r="AG19" s="105">
        <f>IFERROR(INDEX('IM Price Import'!Q$30:Q$65,MATCH('Gas prc.'!AG$5,'IM Price Import'!$A$30:$A$65,0)),"#IM!")</f>
        <v>0.28337916438356159</v>
      </c>
      <c r="AH19" s="105">
        <f>IFERROR(INDEX('IM Price Import'!Q$30:Q$65,MATCH('Gas prc.'!AH$5,'IM Price Import'!$A$30:$A$65,0)),"#IM!")</f>
        <v>0.28337916438356159</v>
      </c>
      <c r="AI19" s="105">
        <f>IFERROR(INDEX('IM Price Import'!Q$30:Q$65,MATCH('Gas prc.'!AI$5,'IM Price Import'!$A$30:$A$65,0)),"#IM!")</f>
        <v>0.28337916438356159</v>
      </c>
      <c r="AJ19" s="105">
        <f>IFERROR(INDEX('IM Price Import'!Q$30:Q$65,MATCH('Gas prc.'!AJ$5,'IM Price Import'!$A$30:$A$65,0)),"#IM!")</f>
        <v>0.28337916438356159</v>
      </c>
      <c r="AK19" s="105">
        <f>IFERROR(INDEX('IM Price Import'!Q$30:Q$65,MATCH('Gas prc.'!AK$5,'IM Price Import'!$A$30:$A$65,0)),"#IM!")</f>
        <v>0.28337916438356159</v>
      </c>
      <c r="AL19" s="105">
        <f>IFERROR(INDEX('IM Price Import'!Q$30:Q$65,MATCH('Gas prc.'!AL$5,'IM Price Import'!$A$30:$A$65,0)),"#IM!")</f>
        <v>0.28337916438356159</v>
      </c>
      <c r="AM19" s="105">
        <f>IFERROR(INDEX('IM Price Import'!Q$30:Q$65,MATCH('Gas prc.'!AM$5,'IM Price Import'!$A$30:$A$65,0)),"#IM!")</f>
        <v>0.28337916438356159</v>
      </c>
      <c r="AN19" s="105">
        <f>IFERROR(INDEX('IM Price Import'!Q$30:Q$65,MATCH('Gas prc.'!AN$5,'IM Price Import'!$A$30:$A$65,0)),"#IM!")</f>
        <v>0.28337916438356159</v>
      </c>
      <c r="AO19" s="105">
        <f>IFERROR(INDEX('IM Price Import'!Q$30:Q$65,MATCH('Gas prc.'!AO$5,'IM Price Import'!$A$30:$A$65,0)),"#IM!")</f>
        <v>0.28337916438356159</v>
      </c>
      <c r="AP19" s="105">
        <f>IFERROR(INDEX('IM Price Import'!Q$30:Q$65,MATCH('Gas prc.'!AP$5,'IM Price Import'!$A$30:$A$65,0)),"#IM!")</f>
        <v>0.28337916438356159</v>
      </c>
      <c r="AQ19" s="105">
        <f>IFERROR(INDEX('IM Price Import'!Q$30:Q$65,MATCH('Gas prc.'!AQ$5,'IM Price Import'!$A$30:$A$65,0)),"#IM!")</f>
        <v>0.28337916438356159</v>
      </c>
    </row>
  </sheetData>
  <pageMargins left="0.7" right="0.7" top="0.75" bottom="0.75" header="0.511811023622047" footer="0.511811023622047"/>
  <pageSetup paperSize="9" fitToHeight="0" orientation="landscape" horizontalDpi="300" verticalDpi="300"/>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F8F00"/>
    <pageSetUpPr fitToPage="1"/>
  </sheetPr>
  <dimension ref="C3:BA8"/>
  <sheetViews>
    <sheetView showGridLines="0" zoomScaleNormal="100" workbookViewId="0">
      <pane xSplit="9" ySplit="5" topLeftCell="J6" activePane="bottomRight" state="frozen"/>
      <selection activeCell="J7" sqref="J7"/>
      <selection pane="topRight" activeCell="J7" sqref="J7"/>
      <selection pane="bottomLeft" activeCell="J7" sqref="J7"/>
      <selection pane="bottomRight" activeCell="J8" sqref="J8"/>
    </sheetView>
  </sheetViews>
  <sheetFormatPr baseColWidth="10" defaultColWidth="8.6640625" defaultRowHeight="13" x14ac:dyDescent="0.15"/>
  <cols>
    <col min="10" max="43" width="11.5" customWidth="1"/>
  </cols>
  <sheetData>
    <row r="3" spans="3:53" ht="12.75" customHeight="1" x14ac:dyDescent="0.15">
      <c r="H3" t="s">
        <v>205</v>
      </c>
    </row>
    <row r="4" spans="3:53" ht="12.75" customHeight="1" x14ac:dyDescent="0.15">
      <c r="H4" t="s">
        <v>206</v>
      </c>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row>
    <row r="5" spans="3:53" ht="12.75" customHeight="1" x14ac:dyDescent="0.15">
      <c r="H5" t="s">
        <v>207</v>
      </c>
      <c r="J5" s="32">
        <v>2027</v>
      </c>
      <c r="K5" s="33">
        <f t="shared" ref="K5:AQ5" si="0">J5+1</f>
        <v>2028</v>
      </c>
      <c r="L5" s="33">
        <f t="shared" si="0"/>
        <v>2029</v>
      </c>
      <c r="M5" s="33">
        <f t="shared" si="0"/>
        <v>2030</v>
      </c>
      <c r="N5" s="33">
        <f t="shared" si="0"/>
        <v>2031</v>
      </c>
      <c r="O5" s="32">
        <f t="shared" si="0"/>
        <v>2032</v>
      </c>
      <c r="P5" s="33">
        <f t="shared" si="0"/>
        <v>2033</v>
      </c>
      <c r="Q5" s="33">
        <f t="shared" si="0"/>
        <v>2034</v>
      </c>
      <c r="R5" s="33">
        <f t="shared" si="0"/>
        <v>2035</v>
      </c>
      <c r="S5" s="33">
        <f t="shared" si="0"/>
        <v>2036</v>
      </c>
      <c r="T5" s="32">
        <f t="shared" si="0"/>
        <v>2037</v>
      </c>
      <c r="U5" s="33">
        <f t="shared" si="0"/>
        <v>2038</v>
      </c>
      <c r="V5" s="33">
        <f t="shared" si="0"/>
        <v>2039</v>
      </c>
      <c r="W5" s="33">
        <f t="shared" si="0"/>
        <v>2040</v>
      </c>
      <c r="X5" s="33">
        <f t="shared" si="0"/>
        <v>2041</v>
      </c>
      <c r="Y5" s="32">
        <f t="shared" si="0"/>
        <v>2042</v>
      </c>
      <c r="Z5" s="33">
        <f t="shared" si="0"/>
        <v>2043</v>
      </c>
      <c r="AA5" s="33">
        <f t="shared" si="0"/>
        <v>2044</v>
      </c>
      <c r="AB5" s="33">
        <f t="shared" si="0"/>
        <v>2045</v>
      </c>
      <c r="AC5" s="33">
        <f t="shared" si="0"/>
        <v>2046</v>
      </c>
      <c r="AD5" s="32">
        <f t="shared" si="0"/>
        <v>2047</v>
      </c>
      <c r="AE5" s="33">
        <f t="shared" si="0"/>
        <v>2048</v>
      </c>
      <c r="AF5" s="33">
        <f t="shared" si="0"/>
        <v>2049</v>
      </c>
      <c r="AG5" s="33">
        <f t="shared" si="0"/>
        <v>2050</v>
      </c>
      <c r="AH5" s="33">
        <f t="shared" si="0"/>
        <v>2051</v>
      </c>
      <c r="AI5" s="32">
        <f t="shared" si="0"/>
        <v>2052</v>
      </c>
      <c r="AJ5" s="33">
        <f t="shared" si="0"/>
        <v>2053</v>
      </c>
      <c r="AK5" s="33">
        <f t="shared" si="0"/>
        <v>2054</v>
      </c>
      <c r="AL5" s="33">
        <f t="shared" si="0"/>
        <v>2055</v>
      </c>
      <c r="AM5" s="33">
        <f t="shared" si="0"/>
        <v>2056</v>
      </c>
      <c r="AN5" s="32">
        <f t="shared" si="0"/>
        <v>2057</v>
      </c>
      <c r="AO5" s="33">
        <f t="shared" si="0"/>
        <v>2058</v>
      </c>
      <c r="AP5" s="33">
        <f t="shared" si="0"/>
        <v>2059</v>
      </c>
      <c r="AQ5" s="33">
        <f t="shared" si="0"/>
        <v>2060</v>
      </c>
    </row>
    <row r="6" spans="3:53" ht="12.75" customHeight="1" x14ac:dyDescent="0.15">
      <c r="J6" s="34"/>
      <c r="O6" s="34"/>
      <c r="T6" s="34"/>
      <c r="Y6" s="34"/>
      <c r="AD6" s="34"/>
      <c r="AI6" s="34"/>
      <c r="AN6" s="34"/>
    </row>
    <row r="7" spans="3:53" x14ac:dyDescent="0.15">
      <c r="C7" t="s">
        <v>211</v>
      </c>
      <c r="J7" s="75">
        <f>IFERROR(INDEX('IM Price Import'!M$30:M$65,MATCH('Gas prc.'!J$5,'IM Price Import'!$A$30:$A$65,0)),"#IM!")</f>
        <v>94.935648241494277</v>
      </c>
      <c r="K7" s="75">
        <f>IFERROR(INDEX('IM Price Import'!M$30:M$65,MATCH('Gas prc.'!K$5,'IM Price Import'!$A$30:$A$65,0)),"#IM!")</f>
        <v>77.624437735862074</v>
      </c>
      <c r="L7" s="75">
        <f>IFERROR(INDEX('IM Price Import'!M$30:M$65,MATCH('Gas prc.'!L$5,'IM Price Import'!$A$30:$A$65,0)),"#IM!")</f>
        <v>71.355248416896558</v>
      </c>
      <c r="M7" s="75">
        <f>IFERROR(INDEX('IM Price Import'!M$30:M$65,MATCH('Gas prc.'!M$5,'IM Price Import'!$A$30:$A$65,0)),"#IM!")</f>
        <v>70.513290147931045</v>
      </c>
      <c r="N7" s="75">
        <f>IFERROR(INDEX('IM Price Import'!M$30:M$65,MATCH('Gas prc.'!N$5,'IM Price Import'!$A$30:$A$65,0)),"#IM!")</f>
        <v>74.437042192758625</v>
      </c>
      <c r="O7" s="75">
        <f>IFERROR(INDEX('IM Price Import'!M$30:M$65,MATCH('Gas prc.'!O$5,'IM Price Import'!$A$30:$A$65,0)),"#IM!")</f>
        <v>76.346904582413799</v>
      </c>
      <c r="P7" s="75">
        <f>IFERROR(INDEX('IM Price Import'!M$30:M$65,MATCH('Gas prc.'!P$5,'IM Price Import'!$A$30:$A$65,0)),"#IM!")</f>
        <v>77.873842674062075</v>
      </c>
      <c r="Q7" s="75">
        <f>IFERROR(INDEX('IM Price Import'!M$30:M$65,MATCH('Gas prc.'!Q$5,'IM Price Import'!$A$30:$A$65,0)),"#IM!")</f>
        <v>79.431319527543309</v>
      </c>
      <c r="R7" s="75">
        <f>IFERROR(INDEX('IM Price Import'!M$30:M$65,MATCH('Gas prc.'!R$5,'IM Price Import'!$A$30:$A$65,0)),"#IM!")</f>
        <v>81.01994591809418</v>
      </c>
      <c r="S7" s="75">
        <f>IFERROR(INDEX('IM Price Import'!M$30:M$65,MATCH('Gas prc.'!S$5,'IM Price Import'!$A$30:$A$65,0)),"#IM!")</f>
        <v>82.640344836456052</v>
      </c>
      <c r="T7" s="75">
        <f>IFERROR(INDEX('IM Price Import'!M$30:M$65,MATCH('Gas prc.'!T$5,'IM Price Import'!$A$30:$A$65,0)),"#IM!")</f>
        <v>84.293151733179599</v>
      </c>
      <c r="U7" s="75">
        <f>IFERROR(INDEX('IM Price Import'!M$30:M$65,MATCH('Gas prc.'!U$5,'IM Price Import'!$A$30:$A$65,0)),"#IM!")</f>
        <v>85.979014767833448</v>
      </c>
      <c r="V7" s="75">
        <f>IFERROR(INDEX('IM Price Import'!M$30:M$65,MATCH('Gas prc.'!V$5,'IM Price Import'!$A$30:$A$65,0)),"#IM!")</f>
        <v>87.698595063206156</v>
      </c>
      <c r="W7" s="75">
        <f>IFERROR(INDEX('IM Price Import'!M$30:M$65,MATCH('Gas prc.'!W$5,'IM Price Import'!$A$30:$A$65,0)),"#IM!")</f>
        <v>89.452566964486977</v>
      </c>
      <c r="X7" s="75">
        <f>IFERROR(INDEX('IM Price Import'!M$30:M$65,MATCH('Gas prc.'!X$5,'IM Price Import'!$A$30:$A$65,0)),"#IM!")</f>
        <v>91.241618303760703</v>
      </c>
      <c r="Y7" s="75">
        <f>IFERROR(INDEX('IM Price Import'!M$30:M$65,MATCH('Gas prc.'!Y$5,'IM Price Import'!$A$30:$A$65,0)),"#IM!")</f>
        <v>93.066450669838702</v>
      </c>
      <c r="Z7" s="75">
        <f>IFERROR(INDEX('IM Price Import'!M$30:M$65,MATCH('Gas prc.'!Z$5,'IM Price Import'!$A$30:$A$65,0)),"#IM!")</f>
        <v>94.927779683241766</v>
      </c>
      <c r="AA7" s="75">
        <f>IFERROR(INDEX('IM Price Import'!M$30:M$65,MATCH('Gas prc.'!AA$5,'IM Price Import'!$A$30:$A$65,0)),"#IM!")</f>
        <v>96.826335276881522</v>
      </c>
      <c r="AB7" s="75">
        <f>IFERROR(INDEX('IM Price Import'!M$30:M$65,MATCH('Gas prc.'!AB$5,'IM Price Import'!$A$30:$A$65,0)),"#IM!")</f>
        <v>98.762861982432383</v>
      </c>
      <c r="AC7" s="75">
        <f>IFERROR(INDEX('IM Price Import'!M$30:M$65,MATCH('Gas prc.'!AC$5,'IM Price Import'!$A$30:$A$65,0)),"#IM!")</f>
        <v>100.73811922207267</v>
      </c>
      <c r="AD7" s="75">
        <f>IFERROR(INDEX('IM Price Import'!M$30:M$65,MATCH('Gas prc.'!AD$5,'IM Price Import'!$A$30:$A$65,0)),"#IM!")</f>
        <v>102.75288160652946</v>
      </c>
      <c r="AE7" s="75">
        <f>IFERROR(INDEX('IM Price Import'!M$30:M$65,MATCH('Gas prc.'!AE$5,'IM Price Import'!$A$30:$A$65,0)),"#IM!")</f>
        <v>104.80793923865588</v>
      </c>
      <c r="AF7" s="75">
        <f>IFERROR(INDEX('IM Price Import'!M$30:M$65,MATCH('Gas prc.'!AF$5,'IM Price Import'!$A$30:$A$65,0)),"#IM!")</f>
        <v>106.90409802344291</v>
      </c>
      <c r="AG7" s="75">
        <f>IFERROR(INDEX('IM Price Import'!M$30:M$65,MATCH('Gas prc.'!AG$5,'IM Price Import'!$A$30:$A$65,0)),"#IM!")</f>
        <v>109.04217998390618</v>
      </c>
      <c r="AH7" s="75">
        <f>IFERROR(INDEX('IM Price Import'!M$30:M$65,MATCH('Gas prc.'!AH$5,'IM Price Import'!$A$30:$A$65,0)),"#IM!")</f>
        <v>111.22302358357805</v>
      </c>
      <c r="AI7" s="75">
        <f>IFERROR(INDEX('IM Price Import'!M$30:M$65,MATCH('Gas prc.'!AI$5,'IM Price Import'!$A$30:$A$65,0)),"#IM!")</f>
        <v>113.44748405525728</v>
      </c>
      <c r="AJ7" s="75">
        <f>IFERROR(INDEX('IM Price Import'!M$30:M$65,MATCH('Gas prc.'!AJ$5,'IM Price Import'!$A$30:$A$65,0)),"#IM!")</f>
        <v>115.71643373633179</v>
      </c>
      <c r="AK7" s="75">
        <f>IFERROR(INDEX('IM Price Import'!M$30:M$65,MATCH('Gas prc.'!AK$5,'IM Price Import'!$A$30:$A$65,0)),"#IM!")</f>
        <v>118.03076241106051</v>
      </c>
      <c r="AL7" s="75">
        <f>IFERROR(INDEX('IM Price Import'!M$30:M$65,MATCH('Gas prc.'!AL$5,'IM Price Import'!$A$30:$A$65,0)),"#IM!")</f>
        <v>120.39137765929704</v>
      </c>
      <c r="AM7" s="75">
        <f>IFERROR(INDEX('IM Price Import'!M$30:M$65,MATCH('Gas prc.'!AM$5,'IM Price Import'!$A$30:$A$65,0)),"#IM!")</f>
        <v>122.7992052124969</v>
      </c>
      <c r="AN7" s="75">
        <f>IFERROR(INDEX('IM Price Import'!M$30:M$65,MATCH('Gas prc.'!AN$5,'IM Price Import'!$A$30:$A$65,0)),"#IM!")</f>
        <v>125.2551893167378</v>
      </c>
      <c r="AO7" s="75">
        <f>IFERROR(INDEX('IM Price Import'!M$30:M$65,MATCH('Gas prc.'!AO$5,'IM Price Import'!$A$30:$A$65,0)),"#IM!")</f>
        <v>127.76029310307533</v>
      </c>
      <c r="AP7" s="75">
        <f>IFERROR(INDEX('IM Price Import'!M$30:M$65,MATCH('Gas prc.'!AP$5,'IM Price Import'!$A$30:$A$65,0)),"#IM!")</f>
        <v>130.31549896514099</v>
      </c>
      <c r="AQ7" s="75">
        <f>IFERROR(INDEX('IM Price Import'!M$30:M$65,MATCH('Gas prc.'!AQ$5,'IM Price Import'!$A$30:$A$65,0)),"#IM!")</f>
        <v>132.92180894444732</v>
      </c>
    </row>
    <row r="8" spans="3:53" x14ac:dyDescent="0.15">
      <c r="C8" t="s">
        <v>212</v>
      </c>
      <c r="J8" s="75">
        <f>IFERROR(INDEX('IM Price Import'!N$30:N$65,MATCH('Gas prc.'!J$5,'IM Price Import'!$A$30:$A$65,0)),"#IM!")</f>
        <v>84.246606807236148</v>
      </c>
      <c r="K8" s="75">
        <f>IFERROR(INDEX('IM Price Import'!N$30:N$65,MATCH('Gas prc.'!K$5,'IM Price Import'!$A$30:$A$65,0)),"#IM!")</f>
        <v>65.808216558603121</v>
      </c>
      <c r="L8" s="75">
        <f>IFERROR(INDEX('IM Price Import'!N$30:N$65,MATCH('Gas prc.'!L$5,'IM Price Import'!$A$30:$A$65,0)),"#IM!")</f>
        <v>57.926201408946987</v>
      </c>
      <c r="M8" s="75">
        <f>IFERROR(INDEX('IM Price Import'!N$30:N$65,MATCH('Gas prc.'!M$5,'IM Price Import'!$A$30:$A$65,0)),"#IM!")</f>
        <v>52.917039682501589</v>
      </c>
      <c r="N8" s="75">
        <f>IFERROR(INDEX('IM Price Import'!N$30:N$65,MATCH('Gas prc.'!N$5,'IM Price Import'!$A$30:$A$65,0)),"#IM!")</f>
        <v>58.786147412985848</v>
      </c>
      <c r="O8" s="75">
        <f>IFERROR(INDEX('IM Price Import'!N$30:N$65,MATCH('Gas prc.'!O$5,'IM Price Import'!$A$30:$A$65,0)),"#IM!")</f>
        <v>62.582385096017958</v>
      </c>
      <c r="P8" s="75">
        <f>IFERROR(INDEX('IM Price Import'!N$30:N$65,MATCH('Gas prc.'!P$5,'IM Price Import'!$A$30:$A$65,0)),"#IM!")</f>
        <v>65.882851174365342</v>
      </c>
      <c r="Q8" s="75">
        <f>IFERROR(INDEX('IM Price Import'!N$30:N$65,MATCH('Gas prc.'!Q$5,'IM Price Import'!$A$30:$A$65,0)),"#IM!")</f>
        <v>67.44032802784659</v>
      </c>
      <c r="R8" s="75">
        <f>IFERROR(INDEX('IM Price Import'!N$30:N$65,MATCH('Gas prc.'!R$5,'IM Price Import'!$A$30:$A$65,0)),"#IM!")</f>
        <v>71.383815725095175</v>
      </c>
      <c r="S8" s="75">
        <f>IFERROR(INDEX('IM Price Import'!N$30:N$65,MATCH('Gas prc.'!S$5,'IM Price Import'!$A$30:$A$65,0)),"#IM!")</f>
        <v>72.996326701470323</v>
      </c>
      <c r="T8" s="75">
        <f>IFERROR(INDEX('IM Price Import'!N$30:N$65,MATCH('Gas prc.'!T$5,'IM Price Import'!$A$30:$A$65,0)),"#IM!")</f>
        <v>75.54846781538194</v>
      </c>
      <c r="U8" s="75">
        <f>IFERROR(INDEX('IM Price Import'!N$30:N$65,MATCH('Gas prc.'!U$5,'IM Price Import'!$A$30:$A$65,0)),"#IM!")</f>
        <v>76.342884574834457</v>
      </c>
      <c r="V8" s="75">
        <f>IFERROR(INDEX('IM Price Import'!N$30:N$65,MATCH('Gas prc.'!V$5,'IM Price Import'!$A$30:$A$65,0)),"#IM!")</f>
        <v>75.707603563509437</v>
      </c>
      <c r="W8" s="75">
        <f>IFERROR(INDEX('IM Price Import'!N$30:N$65,MATCH('Gas prc.'!W$5,'IM Price Import'!$A$30:$A$65,0)),"#IM!")</f>
        <v>79.57323140048976</v>
      </c>
      <c r="X8" s="75">
        <f>IFERROR(INDEX('IM Price Import'!N$30:N$65,MATCH('Gas prc.'!X$5,'IM Price Import'!$A$30:$A$65,0)),"#IM!")</f>
        <v>83.662764247951927</v>
      </c>
      <c r="Y8" s="75">
        <f>IFERROR(INDEX('IM Price Import'!N$30:N$65,MATCH('Gas prc.'!Y$5,'IM Price Import'!$A$30:$A$65,0)),"#IM!")</f>
        <v>85.487596614029925</v>
      </c>
      <c r="Z8" s="75">
        <f>IFERROR(INDEX('IM Price Import'!N$30:N$65,MATCH('Gas prc.'!Z$5,'IM Price Import'!$A$30:$A$65,0)),"#IM!")</f>
        <v>86.387151346656651</v>
      </c>
      <c r="AA8" s="75">
        <f>IFERROR(INDEX('IM Price Import'!N$30:N$65,MATCH('Gas prc.'!AA$5,'IM Price Import'!$A$30:$A$65,0)),"#IM!")</f>
        <v>85.718994905958951</v>
      </c>
      <c r="AB8" s="75">
        <f>IFERROR(INDEX('IM Price Import'!N$30:N$65,MATCH('Gas prc.'!AB$5,'IM Price Import'!$A$30:$A$65,0)),"#IM!")</f>
        <v>86.734292443189261</v>
      </c>
      <c r="AC8" s="75">
        <f>IFERROR(INDEX('IM Price Import'!N$30:N$65,MATCH('Gas prc.'!AC$5,'IM Price Import'!$A$30:$A$65,0)),"#IM!")</f>
        <v>88.709549682800002</v>
      </c>
      <c r="AD8" s="75">
        <f>IFERROR(INDEX('IM Price Import'!N$30:N$65,MATCH('Gas prc.'!AD$5,'IM Price Import'!$A$30:$A$65,0)),"#IM!")</f>
        <v>90.724312067300005</v>
      </c>
      <c r="AE8" s="75">
        <f>IFERROR(INDEX('IM Price Import'!N$30:N$65,MATCH('Gas prc.'!AE$5,'IM Price Import'!$A$30:$A$65,0)),"#IM!")</f>
        <v>92.779369699399993</v>
      </c>
      <c r="AF8" s="75">
        <f>IFERROR(INDEX('IM Price Import'!N$30:N$65,MATCH('Gas prc.'!AF$5,'IM Price Import'!$A$30:$A$65,0)),"#IM!")</f>
        <v>94.875528484200004</v>
      </c>
      <c r="AG8" s="75">
        <f>IFERROR(INDEX('IM Price Import'!N$30:N$65,MATCH('Gas prc.'!AG$5,'IM Price Import'!$A$30:$A$65,0)),"#IM!")</f>
        <v>97.013610444700006</v>
      </c>
      <c r="AH8" s="75">
        <f>IFERROR(INDEX('IM Price Import'!N$30:N$65,MATCH('Gas prc.'!AH$5,'IM Price Import'!$A$30:$A$65,0)),"#IM!")</f>
        <v>99.194454044300002</v>
      </c>
      <c r="AI8" s="75">
        <f>IFERROR(INDEX('IM Price Import'!N$30:N$65,MATCH('Gas prc.'!AI$5,'IM Price Import'!$A$30:$A$65,0)),"#IM!")</f>
        <v>101.418914516</v>
      </c>
      <c r="AJ8" s="75">
        <f>IFERROR(INDEX('IM Price Import'!N$30:N$65,MATCH('Gas prc.'!AJ$5,'IM Price Import'!$A$30:$A$65,0)),"#IM!")</f>
        <v>103.6878641971</v>
      </c>
      <c r="AK8" s="75">
        <f>IFERROR(INDEX('IM Price Import'!N$30:N$65,MATCH('Gas prc.'!AK$5,'IM Price Import'!$A$30:$A$65,0)),"#IM!")</f>
        <v>106.00219287180001</v>
      </c>
      <c r="AL8" s="75">
        <f>IFERROR(INDEX('IM Price Import'!N$30:N$65,MATCH('Gas prc.'!AL$5,'IM Price Import'!$A$30:$A$65,0)),"#IM!")</f>
        <v>108.3628081201</v>
      </c>
      <c r="AM8" s="75">
        <f>IFERROR(INDEX('IM Price Import'!N$30:N$65,MATCH('Gas prc.'!AM$5,'IM Price Import'!$A$30:$A$65,0)),"#IM!")</f>
        <v>110.77063567330001</v>
      </c>
      <c r="AN8" s="75">
        <f>IFERROR(INDEX('IM Price Import'!N$30:N$65,MATCH('Gas prc.'!AN$5,'IM Price Import'!$A$30:$A$65,0)),"#IM!")</f>
        <v>113.22661977750001</v>
      </c>
      <c r="AO8" s="75">
        <f>IFERROR(INDEX('IM Price Import'!N$30:N$65,MATCH('Gas prc.'!AO$5,'IM Price Import'!$A$30:$A$65,0)),"#IM!")</f>
        <v>115.7317235638</v>
      </c>
      <c r="AP8" s="75">
        <f>IFERROR(INDEX('IM Price Import'!N$30:N$65,MATCH('Gas prc.'!AP$5,'IM Price Import'!$A$30:$A$65,0)),"#IM!")</f>
        <v>118.2869294259</v>
      </c>
      <c r="AQ8" s="75">
        <f>IFERROR(INDEX('IM Price Import'!N$30:N$65,MATCH('Gas prc.'!AQ$5,'IM Price Import'!$A$30:$A$65,0)),"#IM!")</f>
        <v>120.89323940520001</v>
      </c>
    </row>
  </sheetData>
  <pageMargins left="0.7" right="0.7" top="0.75" bottom="0.75" header="0.511811023622047" footer="0.511811023622047"/>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08080"/>
    <pageSetUpPr fitToPage="1"/>
  </sheetPr>
  <dimension ref="B3:AQ35"/>
  <sheetViews>
    <sheetView showGridLines="0" zoomScaleNormal="100" workbookViewId="0">
      <pane xSplit="8" ySplit="5" topLeftCell="I6" activePane="bottomRight" state="frozen"/>
      <selection pane="topRight" activeCell="I1" sqref="I1"/>
      <selection pane="bottomLeft" activeCell="A6" sqref="A6"/>
      <selection pane="bottomRight" activeCell="D18" sqref="D18"/>
    </sheetView>
  </sheetViews>
  <sheetFormatPr baseColWidth="10" defaultColWidth="8.6640625" defaultRowHeight="13" x14ac:dyDescent="0.15"/>
  <cols>
    <col min="4" max="4" width="16" customWidth="1"/>
    <col min="9" max="10" width="12.33203125" customWidth="1"/>
    <col min="11" max="43" width="11.5" customWidth="1"/>
  </cols>
  <sheetData>
    <row r="3" spans="2:43" ht="12.75" customHeight="1" x14ac:dyDescent="0.15">
      <c r="H3" t="s">
        <v>205</v>
      </c>
      <c r="I3">
        <v>1</v>
      </c>
      <c r="J3">
        <f t="shared" ref="J3:AB3" si="0">I3+1</f>
        <v>2</v>
      </c>
      <c r="K3">
        <f t="shared" si="0"/>
        <v>3</v>
      </c>
      <c r="L3">
        <f t="shared" si="0"/>
        <v>4</v>
      </c>
      <c r="M3">
        <f t="shared" si="0"/>
        <v>5</v>
      </c>
      <c r="N3">
        <f t="shared" si="0"/>
        <v>6</v>
      </c>
      <c r="O3">
        <f t="shared" si="0"/>
        <v>7</v>
      </c>
      <c r="P3">
        <f t="shared" si="0"/>
        <v>8</v>
      </c>
      <c r="Q3">
        <f t="shared" si="0"/>
        <v>9</v>
      </c>
      <c r="R3">
        <f t="shared" si="0"/>
        <v>10</v>
      </c>
      <c r="S3">
        <f t="shared" si="0"/>
        <v>11</v>
      </c>
      <c r="T3">
        <f t="shared" si="0"/>
        <v>12</v>
      </c>
      <c r="U3">
        <f t="shared" si="0"/>
        <v>13</v>
      </c>
      <c r="V3">
        <f t="shared" si="0"/>
        <v>14</v>
      </c>
      <c r="W3">
        <f t="shared" si="0"/>
        <v>15</v>
      </c>
      <c r="X3">
        <f t="shared" si="0"/>
        <v>16</v>
      </c>
      <c r="Y3">
        <f t="shared" si="0"/>
        <v>17</v>
      </c>
      <c r="Z3">
        <f t="shared" si="0"/>
        <v>18</v>
      </c>
      <c r="AA3">
        <f t="shared" si="0"/>
        <v>19</v>
      </c>
      <c r="AB3">
        <f t="shared" si="0"/>
        <v>20</v>
      </c>
    </row>
    <row r="4" spans="2:43" ht="12.75" customHeight="1" x14ac:dyDescent="0.15">
      <c r="B4" t="s">
        <v>216</v>
      </c>
      <c r="H4" t="s">
        <v>206</v>
      </c>
      <c r="I4" s="31">
        <v>46477</v>
      </c>
      <c r="J4" s="31">
        <f t="shared" ref="J4:AB4" si="1">EOMONTH(I4,3)</f>
        <v>46568</v>
      </c>
      <c r="K4" s="31">
        <f t="shared" si="1"/>
        <v>46660</v>
      </c>
      <c r="L4" s="31">
        <f t="shared" si="1"/>
        <v>46752</v>
      </c>
      <c r="M4" s="31">
        <f t="shared" si="1"/>
        <v>46843</v>
      </c>
      <c r="N4" s="31">
        <f t="shared" si="1"/>
        <v>46934</v>
      </c>
      <c r="O4" s="31">
        <f t="shared" si="1"/>
        <v>47026</v>
      </c>
      <c r="P4" s="31">
        <f t="shared" si="1"/>
        <v>47118</v>
      </c>
      <c r="Q4" s="31">
        <f t="shared" si="1"/>
        <v>47208</v>
      </c>
      <c r="R4" s="31">
        <f t="shared" si="1"/>
        <v>47299</v>
      </c>
      <c r="S4" s="31">
        <f t="shared" si="1"/>
        <v>47391</v>
      </c>
      <c r="T4" s="31">
        <f t="shared" si="1"/>
        <v>47483</v>
      </c>
      <c r="U4" s="31">
        <f t="shared" si="1"/>
        <v>47573</v>
      </c>
      <c r="V4" s="31">
        <f t="shared" si="1"/>
        <v>47664</v>
      </c>
      <c r="W4" s="31">
        <f t="shared" si="1"/>
        <v>47756</v>
      </c>
      <c r="X4" s="31">
        <f t="shared" si="1"/>
        <v>47848</v>
      </c>
      <c r="Y4" s="31">
        <f t="shared" si="1"/>
        <v>47938</v>
      </c>
      <c r="Z4" s="31">
        <f t="shared" si="1"/>
        <v>48029</v>
      </c>
      <c r="AA4" s="31">
        <f t="shared" si="1"/>
        <v>48121</v>
      </c>
      <c r="AB4" s="31">
        <f t="shared" si="1"/>
        <v>48213</v>
      </c>
      <c r="AC4" s="31"/>
      <c r="AD4" s="31"/>
      <c r="AE4" s="31"/>
    </row>
    <row r="5" spans="2:43" ht="12.75" customHeight="1" thickBot="1" x14ac:dyDescent="0.2">
      <c r="C5" t="s">
        <v>217</v>
      </c>
      <c r="D5" t="s">
        <v>218</v>
      </c>
      <c r="E5" t="s">
        <v>219</v>
      </c>
      <c r="H5" t="s">
        <v>207</v>
      </c>
      <c r="I5" s="33">
        <f t="shared" ref="I5:AB5" si="2">YEAR(I4)</f>
        <v>2027</v>
      </c>
      <c r="J5" s="32">
        <f t="shared" si="2"/>
        <v>2027</v>
      </c>
      <c r="K5" s="33">
        <f t="shared" si="2"/>
        <v>2027</v>
      </c>
      <c r="L5" s="33">
        <f t="shared" si="2"/>
        <v>2027</v>
      </c>
      <c r="M5" s="33">
        <f t="shared" si="2"/>
        <v>2028</v>
      </c>
      <c r="N5" s="33">
        <f t="shared" si="2"/>
        <v>2028</v>
      </c>
      <c r="O5" s="32">
        <f t="shared" si="2"/>
        <v>2028</v>
      </c>
      <c r="P5" s="33">
        <f t="shared" si="2"/>
        <v>2028</v>
      </c>
      <c r="Q5" s="33">
        <f t="shared" si="2"/>
        <v>2029</v>
      </c>
      <c r="R5" s="33">
        <f t="shared" si="2"/>
        <v>2029</v>
      </c>
      <c r="S5" s="33">
        <f t="shared" si="2"/>
        <v>2029</v>
      </c>
      <c r="T5" s="32">
        <f t="shared" si="2"/>
        <v>2029</v>
      </c>
      <c r="U5" s="33">
        <f t="shared" si="2"/>
        <v>2030</v>
      </c>
      <c r="V5" s="33">
        <f t="shared" si="2"/>
        <v>2030</v>
      </c>
      <c r="W5" s="33">
        <f t="shared" si="2"/>
        <v>2030</v>
      </c>
      <c r="X5" s="33">
        <f t="shared" si="2"/>
        <v>2030</v>
      </c>
      <c r="Y5" s="32">
        <f t="shared" si="2"/>
        <v>2031</v>
      </c>
      <c r="Z5" s="33">
        <f t="shared" si="2"/>
        <v>2031</v>
      </c>
      <c r="AA5" s="33">
        <f t="shared" si="2"/>
        <v>2031</v>
      </c>
      <c r="AB5" s="33">
        <f t="shared" si="2"/>
        <v>2031</v>
      </c>
      <c r="AC5" s="33"/>
      <c r="AD5" s="32"/>
      <c r="AE5" s="33"/>
      <c r="AF5" s="33"/>
      <c r="AG5" s="33"/>
      <c r="AH5" s="33"/>
      <c r="AI5" s="32"/>
      <c r="AJ5" s="33"/>
      <c r="AK5" s="33"/>
      <c r="AL5" s="33"/>
      <c r="AM5" s="33"/>
      <c r="AN5" s="32"/>
      <c r="AO5" s="33"/>
      <c r="AP5" s="33"/>
      <c r="AQ5" s="33"/>
    </row>
    <row r="6" spans="2:43" ht="12.75" customHeight="1" x14ac:dyDescent="0.15">
      <c r="C6" t="s">
        <v>220</v>
      </c>
      <c r="D6" s="36">
        <f>Ass.!$D$12/9</f>
        <v>3.3333333333333335</v>
      </c>
      <c r="E6" s="31">
        <f>Ass.!D13</f>
        <v>46568</v>
      </c>
      <c r="I6" s="106">
        <v>0</v>
      </c>
      <c r="J6" s="99">
        <f>IF(J4&gt;=$E6,IF(SUM(I6:$I6)&lt;$D6,IF($D6-SUM(I6:$I6)&gt;1,1,$D6-SUM(I6:$I6)),0),0)</f>
        <v>1</v>
      </c>
      <c r="K6" s="100">
        <f>IF(K4&gt;=$E6,IF(SUM($I6:J6)&lt;$D6,IF($D6-SUM($I6:J6)&gt;1,1,$D6-SUM($I6:J6)),0),0)</f>
        <v>1</v>
      </c>
      <c r="L6" s="100">
        <f>IF(L4&gt;=$E6,IF(SUM($I6:K6)&lt;$D6,IF($D6-SUM($I6:K6)&gt;1,1,$D6-SUM($I6:K6)),0),0)</f>
        <v>1</v>
      </c>
      <c r="M6" s="100">
        <f>IF(M4&gt;=$E6,IF(SUM($I6:L6)&lt;$D6,IF($D6-SUM($I6:L6)&gt;1,1,$D6-SUM($I6:L6)),0),0)</f>
        <v>0.33333333333333348</v>
      </c>
      <c r="N6" s="100">
        <f>IF(N4&gt;=$E6,IF(SUM($I6:M6)&lt;$D6,IF($D6-SUM($I6:M6)&gt;1,1,$D6-SUM($I6:M6)),0),0)</f>
        <v>0</v>
      </c>
      <c r="O6" s="99">
        <f>IF(O4&gt;=$E6,IF(SUM($I6:N6)&lt;$D6,IF($D6-SUM($I6:N6)&gt;1,1,$D6-SUM($I6:N6)),0),0)</f>
        <v>0</v>
      </c>
      <c r="P6" s="100">
        <f>IF(P4&gt;=$E6,IF(SUM($I6:O6)&lt;$D6,IF($D6-SUM($I6:O6)&gt;1,1,$D6-SUM($I6:O6)),0),0)</f>
        <v>0</v>
      </c>
      <c r="Q6" s="100">
        <f>IF(Q4&gt;=$E6,IF(SUM($I6:P6)&lt;$D6,IF($D6-SUM($I6:P6)&gt;1,1,$D6-SUM($I6:P6)),0),0)</f>
        <v>0</v>
      </c>
      <c r="R6" s="100">
        <f>IF(R4&gt;=$E6,IF(SUM($I6:Q6)&lt;$D6,IF($D6-SUM($I6:Q6)&gt;1,1,$D6-SUM($I6:Q6)),0),0)</f>
        <v>0</v>
      </c>
      <c r="S6" s="100">
        <f>IF(S4&gt;=$E6,IF(SUM($I6:R6)&lt;$D6,IF($D6-SUM($I6:R6)&gt;1,1,$D6-SUM($I6:R6)),0),0)</f>
        <v>0</v>
      </c>
      <c r="T6" s="99">
        <f>IF(T4&gt;=$E6,IF(SUM($I6:S6)&lt;$D6,IF($D6-SUM($I6:S6)&gt;1,1,$D6-SUM($I6:S6)),0),0)</f>
        <v>0</v>
      </c>
      <c r="U6" s="100">
        <f>IF(U4&gt;=$E6,IF(SUM($I6:T6)&lt;$D6,IF($D6-SUM($I6:T6)&gt;1,1,$D6-SUM($I6:T6)),0),0)</f>
        <v>0</v>
      </c>
      <c r="V6" s="100">
        <f>IF(V4&gt;=$E6,IF(SUM($I6:U6)&lt;$D6,IF($D6-SUM($I6:U6)&gt;1,1,$D6-SUM($I6:U6)),0),0)</f>
        <v>0</v>
      </c>
      <c r="W6" s="100">
        <f>IF(W4&gt;=$E6,IF(SUM($I6:V6)&lt;$D6,IF($D6-SUM($I6:V6)&gt;1,1,$D6-SUM($I6:V6)),0),0)</f>
        <v>0</v>
      </c>
      <c r="X6" s="100">
        <f>IF(X4&gt;=$E6,IF(SUM($I6:W6)&lt;$D6,IF($D6-SUM($I6:W6)&gt;1,1,$D6-SUM($I6:W6)),0),0)</f>
        <v>0</v>
      </c>
      <c r="Y6" s="99">
        <f>IF(Y4&gt;=$E6,IF(SUM($I6:X6)&lt;$D6,IF($D6-SUM($I6:X6)&gt;1,1,$D6-SUM($I6:X6)),0),0)</f>
        <v>0</v>
      </c>
      <c r="Z6" s="100">
        <f>IF(Z4&gt;=$E6,IF(SUM($I6:Y6)&lt;$D6,IF($D6-SUM($I6:Y6)&gt;1,1,$D6-SUM($I6:Y6)),0),0)</f>
        <v>0</v>
      </c>
      <c r="AA6" s="100">
        <f>IF(AA4&gt;=$E6,IF(SUM($I6:Z6)&lt;$D6,IF($D6-SUM($I6:Z6)&gt;1,1,$D6-SUM($I6:Z6)),0),0)</f>
        <v>0</v>
      </c>
      <c r="AB6" s="100">
        <f>IF(AB4&gt;=$E6,IF(SUM($I6:AA6)&lt;$D6,IF($D6-SUM($I6:AA6)&gt;1,1,$D6-SUM($I6:AA6)),0),0)</f>
        <v>0</v>
      </c>
      <c r="AC6" s="38"/>
      <c r="AD6" s="37"/>
      <c r="AE6" s="38"/>
      <c r="AI6" s="34"/>
      <c r="AN6" s="34"/>
    </row>
    <row r="7" spans="2:43" ht="12.75" customHeight="1" x14ac:dyDescent="0.15">
      <c r="C7" t="s">
        <v>221</v>
      </c>
      <c r="D7" s="36">
        <f>Ass.!$D$12/9</f>
        <v>3.3333333333333335</v>
      </c>
      <c r="E7" s="31">
        <f>EOMONTH(E6,10)</f>
        <v>46873</v>
      </c>
      <c r="I7" s="106">
        <v>0</v>
      </c>
      <c r="J7" s="99">
        <f>IF(J$4&gt;=$E7,IF(SUM(I7:$I7)&lt;$D7,IF($D7-SUM(I7:$I7)&gt;1,1,$D7-SUM(I7:$I7)),0),0)</f>
        <v>0</v>
      </c>
      <c r="K7" s="100">
        <f>IF(K$4&gt;=$E7,IF(SUM($I7:J7)&lt;$D7,IF($D7-SUM($I7:J7)&gt;1,1,$D7-SUM($I7:J7)),0),0)</f>
        <v>0</v>
      </c>
      <c r="L7" s="106">
        <f>IF(L$4&gt;=$E7,IF(SUM($I7:K7)&lt;$D7,IF($D7-SUM($I7:K7)&gt;1,1,$D7-SUM($I7:K7)),0),0)</f>
        <v>0</v>
      </c>
      <c r="M7" s="100">
        <f>IF(M$4&gt;=$E7,IF(SUM($I7:L7)&lt;$D7,IF($D7-SUM($I7:L7)&gt;1,1,$D7-SUM($I7:L7)),0),0)</f>
        <v>0</v>
      </c>
      <c r="N7" s="100">
        <f>IF(N$4&gt;=$E7,IF(SUM($I7:M7)&lt;$D7,IF($D7-SUM($I7:M7)&gt;1,1,$D7-SUM($I7:M7)),0),0)</f>
        <v>1</v>
      </c>
      <c r="O7" s="99">
        <f>IF(O$4&gt;=$E7,IF(SUM($I7:N7)&lt;$D7,IF($D7-SUM($I7:N7)&gt;1,1,$D7-SUM($I7:N7)),0),0)</f>
        <v>1</v>
      </c>
      <c r="P7" s="100">
        <f>IF(P$4&gt;=$E7,IF(SUM($I7:O7)&lt;$D7,IF($D7-SUM($I7:O7)&gt;1,1,$D7-SUM($I7:O7)),0),0)</f>
        <v>1</v>
      </c>
      <c r="Q7" s="100">
        <f>IF(Q$4&gt;=$E7,IF(SUM($I7:P7)&lt;$D7,IF($D7-SUM($I7:P7)&gt;1,1,$D7-SUM($I7:P7)),0),0)</f>
        <v>0.33333333333333348</v>
      </c>
      <c r="R7" s="100">
        <f>IF(R$4&gt;=$E7,IF(SUM($I7:Q7)&lt;$D7,IF($D7-SUM($I7:Q7)&gt;1,1,$D7-SUM($I7:Q7)),0),0)</f>
        <v>0</v>
      </c>
      <c r="S7" s="100">
        <f>IF(S$4&gt;=$E7,IF(SUM($I7:R7)&lt;$D7,IF($D7-SUM($I7:R7)&gt;1,1,$D7-SUM($I7:R7)),0),0)</f>
        <v>0</v>
      </c>
      <c r="T7" s="99">
        <f>IF(T$4&gt;=$E7,IF(SUM($I7:S7)&lt;$D7,IF($D7-SUM($I7:S7)&gt;1,1,$D7-SUM($I7:S7)),0),0)</f>
        <v>0</v>
      </c>
      <c r="U7" s="100">
        <f>IF(U$4&gt;=$E7,IF(SUM($I7:T7)&lt;$D7,IF($D7-SUM($I7:T7)&gt;1,1,$D7-SUM($I7:T7)),0),0)</f>
        <v>0</v>
      </c>
      <c r="V7" s="100">
        <f>IF(V$4&gt;=$E7,IF(SUM($I7:U7)&lt;$D7,IF($D7-SUM($I7:U7)&gt;1,1,$D7-SUM($I7:U7)),0),0)</f>
        <v>0</v>
      </c>
      <c r="W7" s="100">
        <f>IF(W$4&gt;=$E7,IF(SUM($I7:V7)&lt;$D7,IF($D7-SUM($I7:V7)&gt;1,1,$D7-SUM($I7:V7)),0),0)</f>
        <v>0</v>
      </c>
      <c r="X7" s="100">
        <f>IF(X$4&gt;=$E7,IF(SUM($I7:W7)&lt;$D7,IF($D7-SUM($I7:W7)&gt;1,1,$D7-SUM($I7:W7)),0),0)</f>
        <v>0</v>
      </c>
      <c r="Y7" s="99">
        <f>IF(Y$4&gt;=$E7,IF(SUM($I7:X7)&lt;$D7,IF($D7-SUM($I7:X7)&gt;1,1,$D7-SUM($I7:X7)),0),0)</f>
        <v>0</v>
      </c>
      <c r="Z7" s="100">
        <f>IF(Z$4&gt;=$E7,IF(SUM($I7:Y7)&lt;$D7,IF($D7-SUM($I7:Y7)&gt;1,1,$D7-SUM($I7:Y7)),0),0)</f>
        <v>0</v>
      </c>
      <c r="AA7" s="100">
        <f>IF(AA$4&gt;=$E7,IF(SUM($I7:Z7)&lt;$D7,IF($D7-SUM($I7:Z7)&gt;1,1,$D7-SUM($I7:Z7)),0),0)</f>
        <v>0</v>
      </c>
      <c r="AB7" s="100">
        <f>IF(AB$4&gt;=$E7,IF(SUM($I7:AA7)&lt;$D7,IF($D7-SUM($I7:AA7)&gt;1,1,$D7-SUM($I7:AA7)),0),0)</f>
        <v>0</v>
      </c>
      <c r="AC7" s="38"/>
      <c r="AD7" s="37"/>
      <c r="AE7" s="38"/>
      <c r="AI7" s="34"/>
      <c r="AN7" s="34"/>
    </row>
    <row r="8" spans="2:43" ht="12.75" customHeight="1" x14ac:dyDescent="0.15">
      <c r="C8" t="s">
        <v>222</v>
      </c>
      <c r="D8" s="36">
        <f>Ass.!$D$12/9</f>
        <v>3.3333333333333335</v>
      </c>
      <c r="E8" s="31">
        <f>EOMONTH(E7,10)</f>
        <v>47177</v>
      </c>
      <c r="I8" s="106">
        <v>0</v>
      </c>
      <c r="J8" s="99">
        <f>IF(J$4&gt;=$E8,IF(SUM(I8:$I8)&lt;$D8,IF($D8-SUM(I8:$I8)&gt;1,1,$D8-SUM(I8:$I8)),0),0)</f>
        <v>0</v>
      </c>
      <c r="K8" s="100">
        <f>IF(K$4&gt;=$E8,IF(SUM($I8:J8)&lt;$D8,IF($D8-SUM($I8:J8)&gt;1,1,$D8-SUM($I8:J8)),0),0)</f>
        <v>0</v>
      </c>
      <c r="L8" s="100">
        <f>IF(L$4&gt;=$E8,IF(SUM($I8:K8)&lt;$D8,IF($D8-SUM($I8:K8)&gt;1,1,$D8-SUM($I8:K8)),0),0)</f>
        <v>0</v>
      </c>
      <c r="M8" s="100">
        <f>IF(M$4&gt;=$E8,IF(SUM($I8:L8)&lt;$D8,IF($D8-SUM($I8:L8)&gt;1,1,$D8-SUM($I8:L8)),0),0)</f>
        <v>0</v>
      </c>
      <c r="N8" s="100">
        <f>IF(N$4&gt;=$E8,IF(SUM($I8:M8)&lt;$D8,IF($D8-SUM($I8:M8)&gt;1,1,$D8-SUM($I8:M8)),0),0)</f>
        <v>0</v>
      </c>
      <c r="O8" s="109">
        <f>IF(O$4&gt;=$E8,IF(SUM($I8:N8)&lt;$D8,IF($D8-SUM($I8:N8)&gt;1,1,$D8-SUM($I8:N8)),0),0)</f>
        <v>0</v>
      </c>
      <c r="P8" s="100">
        <f>IF(P$4&gt;=$E8,IF(SUM($I8:O8)&lt;$D8,IF($D8-SUM($I8:O8)&gt;1,1,$D8-SUM($I8:O8)),0),0)</f>
        <v>0</v>
      </c>
      <c r="Q8" s="100">
        <f>IF(Q$4&gt;=$E8,IF(SUM($I8:P8)&lt;$D8,IF($D8-SUM($I8:P8)&gt;1,1,$D8-SUM($I8:P8)),0),0)</f>
        <v>1</v>
      </c>
      <c r="R8" s="100">
        <f>IF(R$4&gt;=$E8,IF(SUM($I8:Q8)&lt;$D8,IF($D8-SUM($I8:Q8)&gt;1,1,$D8-SUM($I8:Q8)),0),0)</f>
        <v>1</v>
      </c>
      <c r="S8" s="100">
        <f>IF(S$4&gt;=$E8,IF(SUM($I8:R8)&lt;$D8,IF($D8-SUM($I8:R8)&gt;1,1,$D8-SUM($I8:R8)),0),0)</f>
        <v>1</v>
      </c>
      <c r="T8" s="99">
        <f>IF(T$4&gt;=$E8,IF(SUM($I8:S8)&lt;$D8,IF($D8-SUM($I8:S8)&gt;1,1,$D8-SUM($I8:S8)),0),0)</f>
        <v>0.33333333333333348</v>
      </c>
      <c r="U8" s="100">
        <f>IF(U$4&gt;=$E8,IF(SUM($I8:T8)&lt;$D8,IF($D8-SUM($I8:T8)&gt;1,1,$D8-SUM($I8:T8)),0),0)</f>
        <v>0</v>
      </c>
      <c r="V8" s="100">
        <f>IF(V$4&gt;=$E8,IF(SUM($I8:U8)&lt;$D8,IF($D8-SUM($I8:U8)&gt;1,1,$D8-SUM($I8:U8)),0),0)</f>
        <v>0</v>
      </c>
      <c r="W8" s="100">
        <f>IF(W$4&gt;=$E8,IF(SUM($I8:V8)&lt;$D8,IF($D8-SUM($I8:V8)&gt;1,1,$D8-SUM($I8:V8)),0),0)</f>
        <v>0</v>
      </c>
      <c r="X8" s="100">
        <f>IF(X$4&gt;=$E8,IF(SUM($I8:W8)&lt;$D8,IF($D8-SUM($I8:W8)&gt;1,1,$D8-SUM($I8:W8)),0),0)</f>
        <v>0</v>
      </c>
      <c r="Y8" s="99">
        <f>IF(Y$4&gt;=$E8,IF(SUM($I8:X8)&lt;$D8,IF($D8-SUM($I8:X8)&gt;1,1,$D8-SUM($I8:X8)),0),0)</f>
        <v>0</v>
      </c>
      <c r="Z8" s="100">
        <f>IF(Z$4&gt;=$E8,IF(SUM($I8:Y8)&lt;$D8,IF($D8-SUM($I8:Y8)&gt;1,1,$D8-SUM($I8:Y8)),0),0)</f>
        <v>0</v>
      </c>
      <c r="AA8" s="100">
        <f>IF(AA$4&gt;=$E8,IF(SUM($I8:Z8)&lt;$D8,IF($D8-SUM($I8:Z8)&gt;1,1,$D8-SUM($I8:Z8)),0),0)</f>
        <v>0</v>
      </c>
      <c r="AB8" s="100">
        <f>IF(AB$4&gt;=$E8,IF(SUM($I8:AA8)&lt;$D8,IF($D8-SUM($I8:AA8)&gt;1,1,$D8-SUM($I8:AA8)),0),0)</f>
        <v>0</v>
      </c>
      <c r="AC8" s="38"/>
      <c r="AD8" s="37"/>
      <c r="AE8" s="38"/>
      <c r="AI8" s="34"/>
      <c r="AN8" s="34"/>
    </row>
    <row r="9" spans="2:43" ht="12.75" customHeight="1" x14ac:dyDescent="0.15">
      <c r="D9" s="36"/>
      <c r="I9" s="38"/>
      <c r="J9" s="37"/>
      <c r="K9" s="38"/>
      <c r="L9" s="38"/>
      <c r="M9" s="38"/>
      <c r="N9" s="38"/>
      <c r="O9" s="39"/>
      <c r="P9" s="38"/>
      <c r="Q9" s="38"/>
      <c r="R9" s="38"/>
      <c r="T9" s="34"/>
      <c r="Y9" s="34"/>
      <c r="AD9" s="34"/>
      <c r="AI9" s="34"/>
      <c r="AN9" s="34"/>
    </row>
    <row r="10" spans="2:43" ht="12.75" customHeight="1" x14ac:dyDescent="0.15">
      <c r="C10" t="s">
        <v>223</v>
      </c>
      <c r="D10" s="36"/>
      <c r="E10">
        <f>IF(Ass.!D11=1,1,0)</f>
        <v>0</v>
      </c>
      <c r="I10" s="110">
        <f t="shared" ref="I10:R10" si="3">IF($E$10=1,0,1)</f>
        <v>1</v>
      </c>
      <c r="J10" s="111">
        <f t="shared" si="3"/>
        <v>1</v>
      </c>
      <c r="K10" s="110">
        <f t="shared" si="3"/>
        <v>1</v>
      </c>
      <c r="L10" s="110">
        <f t="shared" si="3"/>
        <v>1</v>
      </c>
      <c r="M10" s="110">
        <f t="shared" si="3"/>
        <v>1</v>
      </c>
      <c r="N10" s="110">
        <f t="shared" si="3"/>
        <v>1</v>
      </c>
      <c r="O10" s="111">
        <f t="shared" si="3"/>
        <v>1</v>
      </c>
      <c r="P10" s="110">
        <f t="shared" si="3"/>
        <v>1</v>
      </c>
      <c r="Q10" s="110">
        <f t="shared" si="3"/>
        <v>1</v>
      </c>
      <c r="R10" s="110">
        <f t="shared" si="3"/>
        <v>1</v>
      </c>
      <c r="S10" s="110">
        <f>IF($E$10=1,0.05,100%)</f>
        <v>1</v>
      </c>
      <c r="T10" s="111">
        <f t="shared" ref="T10:AB10" si="4">IF($E$10=1,IF(S10&lt;1,IF(S10+0.15&gt;1,S10+(1-S10),S10+0.15),1),100%)</f>
        <v>1</v>
      </c>
      <c r="U10" s="110">
        <f t="shared" si="4"/>
        <v>1</v>
      </c>
      <c r="V10" s="110">
        <f t="shared" si="4"/>
        <v>1</v>
      </c>
      <c r="W10" s="110">
        <f t="shared" si="4"/>
        <v>1</v>
      </c>
      <c r="X10" s="110">
        <f t="shared" si="4"/>
        <v>1</v>
      </c>
      <c r="Y10" s="111">
        <f t="shared" si="4"/>
        <v>1</v>
      </c>
      <c r="Z10" s="110">
        <f t="shared" si="4"/>
        <v>1</v>
      </c>
      <c r="AA10" s="110">
        <f t="shared" si="4"/>
        <v>1</v>
      </c>
      <c r="AB10" s="110">
        <f t="shared" si="4"/>
        <v>1</v>
      </c>
      <c r="AC10" s="22"/>
      <c r="AD10" s="40"/>
      <c r="AE10" s="22"/>
      <c r="AI10" s="34"/>
      <c r="AN10" s="34"/>
    </row>
    <row r="11" spans="2:43" ht="12.75" customHeight="1" x14ac:dyDescent="0.15">
      <c r="J11" s="34"/>
      <c r="O11" s="34"/>
      <c r="T11" s="34"/>
      <c r="Y11" s="34"/>
      <c r="AD11" s="34"/>
      <c r="AI11" s="34"/>
      <c r="AN11" s="34"/>
    </row>
    <row r="12" spans="2:43" ht="12.75" customHeight="1" x14ac:dyDescent="0.15">
      <c r="J12" s="34"/>
      <c r="O12" s="34"/>
      <c r="T12" s="34"/>
      <c r="Y12" s="34"/>
      <c r="AD12" s="34"/>
      <c r="AI12" s="34"/>
      <c r="AN12" s="34"/>
    </row>
    <row r="13" spans="2:43" ht="12.75" customHeight="1" x14ac:dyDescent="0.15">
      <c r="B13" t="s">
        <v>224</v>
      </c>
      <c r="J13" s="34"/>
      <c r="O13" s="34"/>
      <c r="T13" s="34"/>
      <c r="Y13" s="34"/>
      <c r="AD13" s="34"/>
      <c r="AI13" s="34"/>
      <c r="AN13" s="34"/>
    </row>
    <row r="14" spans="2:43" ht="12.75" customHeight="1" x14ac:dyDescent="0.15">
      <c r="C14" t="s">
        <v>220</v>
      </c>
      <c r="D14" s="19">
        <v>0.4</v>
      </c>
      <c r="J14" s="34"/>
      <c r="O14" s="34"/>
      <c r="T14" s="34"/>
      <c r="Y14" s="34"/>
      <c r="AD14" s="34"/>
      <c r="AI14" s="34"/>
      <c r="AN14" s="34"/>
    </row>
    <row r="15" spans="2:43" ht="12.75" customHeight="1" x14ac:dyDescent="0.15">
      <c r="C15" t="s">
        <v>221</v>
      </c>
      <c r="D15" s="19">
        <v>0.3</v>
      </c>
      <c r="J15" s="34"/>
      <c r="O15" s="34"/>
      <c r="T15" s="34"/>
      <c r="Y15" s="34"/>
      <c r="AD15" s="34"/>
      <c r="AI15" s="34"/>
      <c r="AN15" s="34"/>
    </row>
    <row r="16" spans="2:43" ht="12.75" customHeight="1" x14ac:dyDescent="0.15">
      <c r="C16" t="s">
        <v>222</v>
      </c>
      <c r="D16" s="22">
        <f>1-SUM(D14:D15)</f>
        <v>0.30000000000000004</v>
      </c>
      <c r="J16" s="34"/>
      <c r="O16" s="34"/>
      <c r="T16" s="34"/>
      <c r="Y16" s="34"/>
      <c r="AD16" s="34"/>
      <c r="AI16" s="34"/>
      <c r="AN16" s="34"/>
    </row>
    <row r="17" spans="2:40" ht="12.75" customHeight="1" x14ac:dyDescent="0.15">
      <c r="J17" s="34"/>
      <c r="O17" s="34"/>
      <c r="T17" s="34"/>
      <c r="Y17" s="34"/>
      <c r="AD17" s="34"/>
      <c r="AI17" s="34"/>
      <c r="AN17" s="34"/>
    </row>
    <row r="18" spans="2:40" ht="12.75" customHeight="1" x14ac:dyDescent="0.15">
      <c r="C18" t="s">
        <v>225</v>
      </c>
      <c r="D18" s="21">
        <f>D14*Ass.!$G$12</f>
        <v>0</v>
      </c>
      <c r="I18" s="21">
        <f t="shared" ref="I18:AB18" si="5">IFERROR(I6/$D6*$D18,0)</f>
        <v>0</v>
      </c>
      <c r="J18" s="41">
        <f t="shared" si="5"/>
        <v>0</v>
      </c>
      <c r="K18" s="21">
        <f t="shared" si="5"/>
        <v>0</v>
      </c>
      <c r="L18" s="21">
        <f t="shared" si="5"/>
        <v>0</v>
      </c>
      <c r="M18" s="21">
        <f t="shared" si="5"/>
        <v>0</v>
      </c>
      <c r="N18" s="21">
        <f t="shared" si="5"/>
        <v>0</v>
      </c>
      <c r="O18" s="41">
        <f t="shared" si="5"/>
        <v>0</v>
      </c>
      <c r="P18" s="21">
        <f t="shared" si="5"/>
        <v>0</v>
      </c>
      <c r="Q18" s="21">
        <f t="shared" si="5"/>
        <v>0</v>
      </c>
      <c r="R18" s="21">
        <f t="shared" si="5"/>
        <v>0</v>
      </c>
      <c r="S18" s="77">
        <f t="shared" si="5"/>
        <v>0</v>
      </c>
      <c r="T18" s="76">
        <f t="shared" si="5"/>
        <v>0</v>
      </c>
      <c r="U18" s="77">
        <f t="shared" si="5"/>
        <v>0</v>
      </c>
      <c r="V18" s="77">
        <f t="shared" si="5"/>
        <v>0</v>
      </c>
      <c r="W18" s="77">
        <f t="shared" si="5"/>
        <v>0</v>
      </c>
      <c r="X18" s="77">
        <f t="shared" si="5"/>
        <v>0</v>
      </c>
      <c r="Y18" s="76">
        <f t="shared" si="5"/>
        <v>0</v>
      </c>
      <c r="Z18" s="77">
        <f t="shared" si="5"/>
        <v>0</v>
      </c>
      <c r="AA18" s="77">
        <f t="shared" si="5"/>
        <v>0</v>
      </c>
      <c r="AB18" s="77">
        <f t="shared" si="5"/>
        <v>0</v>
      </c>
      <c r="AD18" s="34"/>
      <c r="AI18" s="34"/>
      <c r="AN18" s="34"/>
    </row>
    <row r="19" spans="2:40" ht="12.75" customHeight="1" x14ac:dyDescent="0.15">
      <c r="C19" t="s">
        <v>226</v>
      </c>
      <c r="D19" s="21">
        <f>D15*Ass.!$G$12</f>
        <v>0</v>
      </c>
      <c r="I19" s="21">
        <f t="shared" ref="I19:AB19" si="6">IFERROR(I7/$D7*$D19,0)</f>
        <v>0</v>
      </c>
      <c r="J19" s="41">
        <f t="shared" si="6"/>
        <v>0</v>
      </c>
      <c r="K19" s="21">
        <f t="shared" si="6"/>
        <v>0</v>
      </c>
      <c r="L19" s="21">
        <f t="shared" si="6"/>
        <v>0</v>
      </c>
      <c r="M19" s="21">
        <f t="shared" si="6"/>
        <v>0</v>
      </c>
      <c r="N19" s="21">
        <f t="shared" si="6"/>
        <v>0</v>
      </c>
      <c r="O19" s="41">
        <f t="shared" si="6"/>
        <v>0</v>
      </c>
      <c r="P19" s="21">
        <f t="shared" si="6"/>
        <v>0</v>
      </c>
      <c r="Q19" s="21">
        <f t="shared" si="6"/>
        <v>0</v>
      </c>
      <c r="R19" s="21">
        <f t="shared" si="6"/>
        <v>0</v>
      </c>
      <c r="S19" s="77">
        <f t="shared" si="6"/>
        <v>0</v>
      </c>
      <c r="T19" s="76">
        <f t="shared" si="6"/>
        <v>0</v>
      </c>
      <c r="U19" s="77">
        <f t="shared" si="6"/>
        <v>0</v>
      </c>
      <c r="V19" s="77">
        <f t="shared" si="6"/>
        <v>0</v>
      </c>
      <c r="W19" s="77">
        <f t="shared" si="6"/>
        <v>0</v>
      </c>
      <c r="X19" s="77">
        <f t="shared" si="6"/>
        <v>0</v>
      </c>
      <c r="Y19" s="76">
        <f t="shared" si="6"/>
        <v>0</v>
      </c>
      <c r="Z19" s="77">
        <f t="shared" si="6"/>
        <v>0</v>
      </c>
      <c r="AA19" s="77">
        <f t="shared" si="6"/>
        <v>0</v>
      </c>
      <c r="AB19" s="77">
        <f t="shared" si="6"/>
        <v>0</v>
      </c>
      <c r="AD19" s="34"/>
      <c r="AI19" s="34"/>
      <c r="AN19" s="34"/>
    </row>
    <row r="20" spans="2:40" ht="12.75" customHeight="1" x14ac:dyDescent="0.15">
      <c r="C20" t="s">
        <v>227</v>
      </c>
      <c r="D20" s="21">
        <f>D16*Ass.!$G$12</f>
        <v>0</v>
      </c>
      <c r="I20" s="21">
        <f t="shared" ref="I20:AB20" si="7">IFERROR(I8/$D8*$D20,0)</f>
        <v>0</v>
      </c>
      <c r="J20" s="41">
        <f t="shared" si="7"/>
        <v>0</v>
      </c>
      <c r="K20" s="21">
        <f t="shared" si="7"/>
        <v>0</v>
      </c>
      <c r="L20" s="21">
        <f t="shared" si="7"/>
        <v>0</v>
      </c>
      <c r="M20" s="21">
        <f t="shared" si="7"/>
        <v>0</v>
      </c>
      <c r="N20" s="21">
        <f t="shared" si="7"/>
        <v>0</v>
      </c>
      <c r="O20" s="41">
        <f t="shared" si="7"/>
        <v>0</v>
      </c>
      <c r="P20" s="21">
        <f t="shared" si="7"/>
        <v>0</v>
      </c>
      <c r="Q20" s="21">
        <f t="shared" si="7"/>
        <v>0</v>
      </c>
      <c r="R20" s="21">
        <f t="shared" si="7"/>
        <v>0</v>
      </c>
      <c r="S20" s="77">
        <f t="shared" si="7"/>
        <v>0</v>
      </c>
      <c r="T20" s="76">
        <f t="shared" si="7"/>
        <v>0</v>
      </c>
      <c r="U20" s="77">
        <f t="shared" si="7"/>
        <v>0</v>
      </c>
      <c r="V20" s="77">
        <f t="shared" si="7"/>
        <v>0</v>
      </c>
      <c r="W20" s="77">
        <f t="shared" si="7"/>
        <v>0</v>
      </c>
      <c r="X20" s="77">
        <f t="shared" si="7"/>
        <v>0</v>
      </c>
      <c r="Y20" s="76">
        <f t="shared" si="7"/>
        <v>0</v>
      </c>
      <c r="Z20" s="77">
        <f t="shared" si="7"/>
        <v>0</v>
      </c>
      <c r="AA20" s="77">
        <f t="shared" si="7"/>
        <v>0</v>
      </c>
      <c r="AB20" s="77">
        <f t="shared" si="7"/>
        <v>0</v>
      </c>
      <c r="AD20" s="34"/>
      <c r="AI20" s="34"/>
      <c r="AN20" s="34"/>
    </row>
    <row r="21" spans="2:40" ht="12.75" customHeight="1" x14ac:dyDescent="0.15">
      <c r="C21" t="s">
        <v>228</v>
      </c>
      <c r="D21" s="21">
        <f>SUM(I21:AB21)</f>
        <v>0</v>
      </c>
      <c r="I21" s="21">
        <f t="shared" ref="I21:AB21" si="8">SUM(I18:I20)</f>
        <v>0</v>
      </c>
      <c r="J21" s="41">
        <f t="shared" si="8"/>
        <v>0</v>
      </c>
      <c r="K21" s="21">
        <f t="shared" si="8"/>
        <v>0</v>
      </c>
      <c r="L21" s="21">
        <f t="shared" si="8"/>
        <v>0</v>
      </c>
      <c r="M21" s="21">
        <f t="shared" si="8"/>
        <v>0</v>
      </c>
      <c r="N21" s="21">
        <f t="shared" si="8"/>
        <v>0</v>
      </c>
      <c r="O21" s="41">
        <f t="shared" si="8"/>
        <v>0</v>
      </c>
      <c r="P21" s="21">
        <f t="shared" si="8"/>
        <v>0</v>
      </c>
      <c r="Q21" s="21">
        <f t="shared" si="8"/>
        <v>0</v>
      </c>
      <c r="R21" s="21">
        <f t="shared" si="8"/>
        <v>0</v>
      </c>
      <c r="S21" s="77">
        <f t="shared" si="8"/>
        <v>0</v>
      </c>
      <c r="T21" s="76">
        <f t="shared" si="8"/>
        <v>0</v>
      </c>
      <c r="U21" s="77">
        <f t="shared" si="8"/>
        <v>0</v>
      </c>
      <c r="V21" s="77">
        <f t="shared" si="8"/>
        <v>0</v>
      </c>
      <c r="W21" s="77">
        <f t="shared" si="8"/>
        <v>0</v>
      </c>
      <c r="X21" s="77">
        <f t="shared" si="8"/>
        <v>0</v>
      </c>
      <c r="Y21" s="76">
        <f t="shared" si="8"/>
        <v>0</v>
      </c>
      <c r="Z21" s="77">
        <f t="shared" si="8"/>
        <v>0</v>
      </c>
      <c r="AA21" s="77">
        <f t="shared" si="8"/>
        <v>0</v>
      </c>
      <c r="AB21" s="77">
        <f t="shared" si="8"/>
        <v>0</v>
      </c>
      <c r="AD21" s="34"/>
      <c r="AI21" s="34"/>
      <c r="AN21" s="34"/>
    </row>
    <row r="22" spans="2:40" ht="12.75" customHeight="1" x14ac:dyDescent="0.15">
      <c r="J22" s="34"/>
      <c r="O22" s="34"/>
      <c r="T22" s="34"/>
      <c r="Y22" s="34"/>
      <c r="AD22" s="34"/>
      <c r="AI22" s="34"/>
      <c r="AN22" s="34"/>
    </row>
    <row r="23" spans="2:40" ht="12.75" customHeight="1" x14ac:dyDescent="0.15">
      <c r="B23" t="s">
        <v>229</v>
      </c>
      <c r="J23" s="34"/>
      <c r="O23" s="34"/>
      <c r="T23" s="34"/>
      <c r="Y23" s="34"/>
      <c r="AD23" s="34"/>
      <c r="AI23" s="34"/>
      <c r="AN23" s="34"/>
    </row>
    <row r="24" spans="2:40" ht="12.75" customHeight="1" x14ac:dyDescent="0.15">
      <c r="C24" t="s">
        <v>87</v>
      </c>
      <c r="D24" s="22">
        <f>Ass.!$D$16</f>
        <v>0.6</v>
      </c>
      <c r="I24" s="21">
        <f t="shared" ref="I24:R25" si="9">I$21*$D24</f>
        <v>0</v>
      </c>
      <c r="J24" s="41">
        <f t="shared" si="9"/>
        <v>0</v>
      </c>
      <c r="K24" s="21">
        <f t="shared" si="9"/>
        <v>0</v>
      </c>
      <c r="L24" s="21">
        <f t="shared" si="9"/>
        <v>0</v>
      </c>
      <c r="M24" s="21">
        <f t="shared" si="9"/>
        <v>0</v>
      </c>
      <c r="N24" s="21">
        <f t="shared" si="9"/>
        <v>0</v>
      </c>
      <c r="O24" s="41">
        <f t="shared" si="9"/>
        <v>0</v>
      </c>
      <c r="P24" s="21">
        <f t="shared" si="9"/>
        <v>0</v>
      </c>
      <c r="Q24" s="21">
        <f t="shared" si="9"/>
        <v>0</v>
      </c>
      <c r="R24" s="21">
        <f t="shared" si="9"/>
        <v>0</v>
      </c>
      <c r="T24" s="34"/>
      <c r="Y24" s="34"/>
      <c r="AD24" s="34"/>
      <c r="AI24" s="34"/>
      <c r="AN24" s="34"/>
    </row>
    <row r="25" spans="2:40" ht="12.75" customHeight="1" x14ac:dyDescent="0.15">
      <c r="C25" t="s">
        <v>90</v>
      </c>
      <c r="D25" s="22">
        <f>Ass.!$D$17</f>
        <v>0.4</v>
      </c>
      <c r="I25" s="21">
        <f t="shared" si="9"/>
        <v>0</v>
      </c>
      <c r="J25" s="41">
        <f t="shared" si="9"/>
        <v>0</v>
      </c>
      <c r="K25" s="21">
        <f t="shared" si="9"/>
        <v>0</v>
      </c>
      <c r="L25" s="21">
        <f t="shared" si="9"/>
        <v>0</v>
      </c>
      <c r="M25" s="21">
        <f t="shared" si="9"/>
        <v>0</v>
      </c>
      <c r="N25" s="21">
        <f t="shared" si="9"/>
        <v>0</v>
      </c>
      <c r="O25" s="41">
        <f t="shared" si="9"/>
        <v>0</v>
      </c>
      <c r="P25" s="21">
        <f t="shared" si="9"/>
        <v>0</v>
      </c>
      <c r="Q25" s="21">
        <f t="shared" si="9"/>
        <v>0</v>
      </c>
      <c r="R25" s="21">
        <f t="shared" si="9"/>
        <v>0</v>
      </c>
      <c r="T25" s="34"/>
      <c r="Y25" s="34"/>
      <c r="AD25" s="34"/>
      <c r="AI25" s="34"/>
      <c r="AN25" s="34"/>
    </row>
    <row r="26" spans="2:40" ht="12.75" customHeight="1" x14ac:dyDescent="0.15">
      <c r="J26" s="34"/>
      <c r="O26" s="34"/>
      <c r="T26" s="34"/>
      <c r="Y26" s="34"/>
      <c r="AD26" s="34"/>
      <c r="AI26" s="34"/>
      <c r="AN26" s="34"/>
    </row>
    <row r="27" spans="2:40" ht="12.75" customHeight="1" x14ac:dyDescent="0.15">
      <c r="J27" s="34"/>
      <c r="O27" s="34"/>
      <c r="T27" s="34"/>
      <c r="Y27" s="34"/>
      <c r="AD27" s="34"/>
      <c r="AI27" s="34"/>
      <c r="AN27" s="34"/>
    </row>
    <row r="28" spans="2:40" ht="12.75" customHeight="1" x14ac:dyDescent="0.15">
      <c r="J28" s="34"/>
      <c r="O28" s="34"/>
      <c r="T28" s="34"/>
      <c r="Y28" s="34"/>
      <c r="AD28" s="34"/>
      <c r="AI28" s="34"/>
      <c r="AN28" s="34"/>
    </row>
    <row r="29" spans="2:40" ht="12.75" customHeight="1" x14ac:dyDescent="0.15">
      <c r="B29" t="s">
        <v>230</v>
      </c>
      <c r="I29">
        <v>2027</v>
      </c>
      <c r="J29" s="34">
        <f>I29+1</f>
        <v>2028</v>
      </c>
      <c r="K29">
        <f>J29+1</f>
        <v>2029</v>
      </c>
      <c r="L29">
        <f>K29+1</f>
        <v>2030</v>
      </c>
      <c r="M29">
        <f>L29+1</f>
        <v>2031</v>
      </c>
      <c r="O29" s="34"/>
      <c r="T29" s="34"/>
      <c r="Y29" s="34"/>
      <c r="AD29" s="34"/>
      <c r="AI29" s="34"/>
      <c r="AN29" s="34"/>
    </row>
    <row r="30" spans="2:40" ht="12.75" customHeight="1" x14ac:dyDescent="0.15">
      <c r="C30" t="s">
        <v>223</v>
      </c>
      <c r="I30" s="22">
        <f ca="1">MIN(SUMIF($I$5:$AB$10,I$29,$I$10:$AB$10),1)</f>
        <v>1</v>
      </c>
      <c r="J30" s="40">
        <f ca="1">MIN(SUMIF($I$5:$AB$10,J$29,$I$10:$AB$10),1)</f>
        <v>1</v>
      </c>
      <c r="K30" s="22">
        <f ca="1">MIN(SUMIF($I$5:$AB$10,K$29,$I$10:$AB$10),1)</f>
        <v>1</v>
      </c>
      <c r="L30" s="22">
        <f ca="1">MIN(SUMIF($I$5:$AB$10,L$29,$I$10:$AB$10),1)</f>
        <v>1</v>
      </c>
      <c r="M30" s="22">
        <f ca="1">MIN(SUMIF($I$5:$AB$10,M$29,$I$10:$AB$10),1)</f>
        <v>1</v>
      </c>
      <c r="N30" s="22"/>
      <c r="O30" s="34"/>
      <c r="T30" s="34"/>
      <c r="Y30" s="34"/>
      <c r="AD30" s="34"/>
      <c r="AI30" s="34"/>
      <c r="AN30" s="34"/>
    </row>
    <row r="31" spans="2:40" ht="12.75" customHeight="1" x14ac:dyDescent="0.15">
      <c r="C31" t="s">
        <v>231</v>
      </c>
      <c r="I31" s="21">
        <f ca="1">SUMIF($I$5:$AB$21,I$29,$I$21:$AB$21)</f>
        <v>0</v>
      </c>
      <c r="J31" s="41">
        <f ca="1">SUMIF($I$5:$AB$21,J$29,$I$21:$AB$21)</f>
        <v>0</v>
      </c>
      <c r="K31" s="21">
        <f ca="1">SUMIF($I$5:$AB$21,K$29,$I$21:$AB$21)</f>
        <v>0</v>
      </c>
      <c r="L31" s="21">
        <f ca="1">SUMIF($I$5:$AB$21,L$29,$I$21:$AB$21)</f>
        <v>0</v>
      </c>
      <c r="M31" s="21">
        <f ca="1">SUMIF($I$5:$AB$21,M$29,$I$21:$AB$21)</f>
        <v>0</v>
      </c>
      <c r="O31" s="34"/>
      <c r="T31" s="34"/>
      <c r="Y31" s="34"/>
      <c r="AD31" s="34"/>
      <c r="AI31" s="34"/>
      <c r="AN31" s="34"/>
    </row>
    <row r="32" spans="2:40" ht="12.75" customHeight="1" x14ac:dyDescent="0.15">
      <c r="D32" t="s">
        <v>87</v>
      </c>
      <c r="I32" s="21">
        <f ca="1">SUMIF($I$5:$AB$25,I$29,$I$24:$AB$24)</f>
        <v>0</v>
      </c>
      <c r="J32" s="41">
        <f ca="1">SUMIF($I$5:$AB$25,J$29,$I$24:$AB$24)</f>
        <v>0</v>
      </c>
      <c r="K32" s="21">
        <f ca="1">SUMIF($I$5:$AB$25,K$29,$I$24:$AB$24)</f>
        <v>0</v>
      </c>
      <c r="L32" s="21">
        <f ca="1">SUMIF($I$5:$AB$25,L$29,$I$24:$AB$24)</f>
        <v>0</v>
      </c>
      <c r="M32" s="21">
        <f ca="1">SUMIF($I$5:$AB$25,M$29,$I$24:$AB$24)</f>
        <v>0</v>
      </c>
      <c r="O32" s="34"/>
      <c r="T32" s="34"/>
      <c r="Y32" s="34"/>
      <c r="AD32" s="34"/>
      <c r="AI32" s="34"/>
      <c r="AN32" s="34"/>
    </row>
    <row r="33" spans="3:40" ht="12.75" customHeight="1" x14ac:dyDescent="0.15">
      <c r="D33" t="s">
        <v>90</v>
      </c>
      <c r="I33" s="21">
        <f ca="1">SUMIF($I$5:$AB$25,I$29,$I$25:$AB$25)</f>
        <v>0</v>
      </c>
      <c r="J33" s="41">
        <f ca="1">SUMIF($I$5:$AB$25,J$29,$I$25:$AB$25)</f>
        <v>0</v>
      </c>
      <c r="K33" s="21">
        <f ca="1">SUMIF($I$5:$AB$25,K$29,$I$25:$AB$25)</f>
        <v>0</v>
      </c>
      <c r="L33" s="21">
        <f ca="1">SUMIF($I$5:$AB$25,L$29,$I$25:$AB$25)</f>
        <v>0</v>
      </c>
      <c r="M33" s="21">
        <f ca="1">SUMIF($I$5:$AB$25,M$29,$I$25:$AB$25)</f>
        <v>0</v>
      </c>
      <c r="O33" s="34"/>
      <c r="T33" s="34"/>
      <c r="Y33" s="34"/>
      <c r="AD33" s="34"/>
      <c r="AI33" s="34"/>
      <c r="AN33" s="34"/>
    </row>
    <row r="34" spans="3:40" ht="12.75" customHeight="1" x14ac:dyDescent="0.15">
      <c r="D34" t="s">
        <v>232</v>
      </c>
      <c r="I34" s="21">
        <f ca="1">IF(Financ.!J$19=1,Financ.!J$17*(Financ.!J$7+Financ.!$C$11),0)</f>
        <v>0</v>
      </c>
      <c r="J34" s="41">
        <f ca="1">IF(Financ.!K$19=1,Financ.!K$17*(Financ.!K$7+Financ.!$C$11),0)</f>
        <v>0</v>
      </c>
      <c r="K34" s="21">
        <f ca="1">IF(Financ.!L$19=1,Financ.!L$17*(Financ.!L$7+Financ.!$C$11),0)</f>
        <v>0</v>
      </c>
      <c r="L34" s="21">
        <f>IF(Financ.!M$19=1,Financ.!M$17*(Financ.!M$7+Financ.!$C$11),0)</f>
        <v>0</v>
      </c>
      <c r="M34" s="21">
        <f>IF(Financ.!N$19=1,Financ.!N$17*(Financ.!N$7+Financ.!$C$11),0)</f>
        <v>0</v>
      </c>
      <c r="O34" s="34"/>
      <c r="T34" s="34"/>
      <c r="Y34" s="34"/>
      <c r="AD34" s="34"/>
      <c r="AI34" s="34"/>
      <c r="AN34" s="34"/>
    </row>
    <row r="35" spans="3:40" ht="12.75" customHeight="1" x14ac:dyDescent="0.15">
      <c r="C35" t="s">
        <v>233</v>
      </c>
      <c r="I35" s="21">
        <f ca="1">I31+I34</f>
        <v>0</v>
      </c>
      <c r="J35" s="41">
        <f ca="1">J31+J34</f>
        <v>0</v>
      </c>
      <c r="K35" s="21">
        <f ca="1">K31+K34</f>
        <v>0</v>
      </c>
      <c r="L35" s="21">
        <f ca="1">L31+L34</f>
        <v>0</v>
      </c>
      <c r="M35" s="21">
        <f ca="1">M31+M34</f>
        <v>0</v>
      </c>
      <c r="O35" s="34"/>
      <c r="T35" s="34"/>
      <c r="Y35" s="34"/>
      <c r="AD35" s="34"/>
      <c r="AI35" s="34"/>
      <c r="AN35" s="34"/>
    </row>
  </sheetData>
  <pageMargins left="0.7" right="0.7" top="0.75" bottom="0.75" header="0.511811023622047" footer="0.511811023622047"/>
  <pageSetup paperSize="9"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08080"/>
    <pageSetUpPr fitToPage="1"/>
  </sheetPr>
  <dimension ref="B3:AQ47"/>
  <sheetViews>
    <sheetView showGridLines="0" zoomScaleNormal="100" workbookViewId="0">
      <pane xSplit="9" ySplit="5" topLeftCell="J20" activePane="bottomRight" state="frozen"/>
      <selection pane="topRight" activeCell="J1" sqref="J1"/>
      <selection pane="bottomLeft" activeCell="A6" sqref="A6"/>
      <selection pane="bottomRight" activeCell="J29" sqref="J29"/>
    </sheetView>
  </sheetViews>
  <sheetFormatPr baseColWidth="10" defaultColWidth="8.6640625" defaultRowHeight="13" x14ac:dyDescent="0.15"/>
  <cols>
    <col min="10" max="10" width="12.33203125" bestFit="1" customWidth="1"/>
    <col min="11" max="11" width="15" bestFit="1" customWidth="1"/>
    <col min="12" max="12" width="14.1640625" bestFit="1" customWidth="1"/>
    <col min="13" max="14" width="14" bestFit="1" customWidth="1"/>
    <col min="15" max="43" width="12.33203125" bestFit="1" customWidth="1"/>
  </cols>
  <sheetData>
    <row r="3" spans="2:43" ht="12.75" customHeight="1" x14ac:dyDescent="0.15">
      <c r="H3" t="s">
        <v>205</v>
      </c>
    </row>
    <row r="4" spans="2:43" ht="12.75" customHeight="1" x14ac:dyDescent="0.15">
      <c r="H4" t="s">
        <v>206</v>
      </c>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row>
    <row r="5" spans="2:43" ht="12.75" customHeight="1" x14ac:dyDescent="0.15">
      <c r="H5" t="s">
        <v>207</v>
      </c>
      <c r="J5" s="32">
        <v>2027</v>
      </c>
      <c r="K5" s="33">
        <f t="shared" ref="K5:AQ5" si="0">J5+1</f>
        <v>2028</v>
      </c>
      <c r="L5" s="33">
        <f t="shared" si="0"/>
        <v>2029</v>
      </c>
      <c r="M5" s="33">
        <f t="shared" si="0"/>
        <v>2030</v>
      </c>
      <c r="N5" s="33">
        <f t="shared" si="0"/>
        <v>2031</v>
      </c>
      <c r="O5" s="32">
        <f t="shared" si="0"/>
        <v>2032</v>
      </c>
      <c r="P5" s="33">
        <f t="shared" si="0"/>
        <v>2033</v>
      </c>
      <c r="Q5" s="33">
        <f t="shared" si="0"/>
        <v>2034</v>
      </c>
      <c r="R5" s="33">
        <f t="shared" si="0"/>
        <v>2035</v>
      </c>
      <c r="S5" s="33">
        <f t="shared" si="0"/>
        <v>2036</v>
      </c>
      <c r="T5" s="32">
        <f t="shared" si="0"/>
        <v>2037</v>
      </c>
      <c r="U5" s="33">
        <f t="shared" si="0"/>
        <v>2038</v>
      </c>
      <c r="V5" s="33">
        <f t="shared" si="0"/>
        <v>2039</v>
      </c>
      <c r="W5" s="33">
        <f t="shared" si="0"/>
        <v>2040</v>
      </c>
      <c r="X5" s="33">
        <f t="shared" si="0"/>
        <v>2041</v>
      </c>
      <c r="Y5" s="32">
        <f t="shared" si="0"/>
        <v>2042</v>
      </c>
      <c r="Z5" s="33">
        <f t="shared" si="0"/>
        <v>2043</v>
      </c>
      <c r="AA5" s="33">
        <f t="shared" si="0"/>
        <v>2044</v>
      </c>
      <c r="AB5" s="33">
        <f t="shared" si="0"/>
        <v>2045</v>
      </c>
      <c r="AC5" s="33">
        <f t="shared" si="0"/>
        <v>2046</v>
      </c>
      <c r="AD5" s="32">
        <f t="shared" si="0"/>
        <v>2047</v>
      </c>
      <c r="AE5" s="33">
        <f t="shared" si="0"/>
        <v>2048</v>
      </c>
      <c r="AF5" s="33">
        <f t="shared" si="0"/>
        <v>2049</v>
      </c>
      <c r="AG5" s="33">
        <f t="shared" si="0"/>
        <v>2050</v>
      </c>
      <c r="AH5" s="33">
        <f t="shared" si="0"/>
        <v>2051</v>
      </c>
      <c r="AI5" s="32">
        <f t="shared" si="0"/>
        <v>2052</v>
      </c>
      <c r="AJ5" s="33">
        <f t="shared" si="0"/>
        <v>2053</v>
      </c>
      <c r="AK5" s="33">
        <f t="shared" si="0"/>
        <v>2054</v>
      </c>
      <c r="AL5" s="33">
        <f t="shared" si="0"/>
        <v>2055</v>
      </c>
      <c r="AM5" s="33">
        <f t="shared" si="0"/>
        <v>2056</v>
      </c>
      <c r="AN5" s="32">
        <f t="shared" si="0"/>
        <v>2057</v>
      </c>
      <c r="AO5" s="33">
        <f t="shared" si="0"/>
        <v>2058</v>
      </c>
      <c r="AP5" s="33">
        <f t="shared" si="0"/>
        <v>2059</v>
      </c>
      <c r="AQ5" s="33">
        <f t="shared" si="0"/>
        <v>2060</v>
      </c>
    </row>
    <row r="6" spans="2:43" ht="12.75" customHeight="1" x14ac:dyDescent="0.15">
      <c r="J6" s="34"/>
      <c r="O6" s="34"/>
      <c r="T6" s="34"/>
      <c r="Y6" s="34"/>
      <c r="AD6" s="34"/>
      <c r="AI6" s="34"/>
      <c r="AN6" s="34"/>
    </row>
    <row r="7" spans="2:43" ht="12.75" customHeight="1" x14ac:dyDescent="0.15">
      <c r="B7" t="s">
        <v>234</v>
      </c>
      <c r="J7" s="34"/>
      <c r="O7" s="34"/>
      <c r="T7" s="34"/>
      <c r="Y7" s="34"/>
      <c r="AD7" s="34"/>
      <c r="AI7" s="34"/>
      <c r="AN7" s="34"/>
    </row>
    <row r="8" spans="2:43" ht="12.75" customHeight="1" x14ac:dyDescent="0.15">
      <c r="J8" s="34"/>
      <c r="O8" s="34"/>
      <c r="T8" s="34"/>
      <c r="Y8" s="34"/>
      <c r="AD8" s="34"/>
      <c r="AI8" s="34"/>
      <c r="AN8" s="34"/>
    </row>
    <row r="9" spans="2:43" ht="12.75" customHeight="1" x14ac:dyDescent="0.15">
      <c r="C9" t="s">
        <v>235</v>
      </c>
      <c r="J9" s="40">
        <f ca="1">'Const.'!I30</f>
        <v>1</v>
      </c>
      <c r="K9" s="22">
        <f ca="1">'Const.'!J30</f>
        <v>1</v>
      </c>
      <c r="L9" s="22">
        <f ca="1">'Const.'!K30</f>
        <v>1</v>
      </c>
      <c r="M9" s="22">
        <f ca="1">'Const.'!L30</f>
        <v>1</v>
      </c>
      <c r="N9" s="22">
        <f ca="1">'Const.'!M30</f>
        <v>1</v>
      </c>
      <c r="O9" s="40">
        <f t="shared" ref="O9:AQ9" ca="1" si="1">N9</f>
        <v>1</v>
      </c>
      <c r="P9" s="22">
        <f t="shared" ca="1" si="1"/>
        <v>1</v>
      </c>
      <c r="Q9" s="22">
        <f t="shared" ca="1" si="1"/>
        <v>1</v>
      </c>
      <c r="R9" s="22">
        <f t="shared" ca="1" si="1"/>
        <v>1</v>
      </c>
      <c r="S9" s="22">
        <f t="shared" ca="1" si="1"/>
        <v>1</v>
      </c>
      <c r="T9" s="40">
        <f t="shared" ca="1" si="1"/>
        <v>1</v>
      </c>
      <c r="U9" s="22">
        <f t="shared" ca="1" si="1"/>
        <v>1</v>
      </c>
      <c r="V9" s="22">
        <f t="shared" ca="1" si="1"/>
        <v>1</v>
      </c>
      <c r="W9" s="22">
        <f t="shared" ca="1" si="1"/>
        <v>1</v>
      </c>
      <c r="X9" s="22">
        <f t="shared" ca="1" si="1"/>
        <v>1</v>
      </c>
      <c r="Y9" s="40">
        <f t="shared" ca="1" si="1"/>
        <v>1</v>
      </c>
      <c r="Z9" s="22">
        <f t="shared" ca="1" si="1"/>
        <v>1</v>
      </c>
      <c r="AA9" s="22">
        <f t="shared" ca="1" si="1"/>
        <v>1</v>
      </c>
      <c r="AB9" s="22">
        <f t="shared" ca="1" si="1"/>
        <v>1</v>
      </c>
      <c r="AC9" s="22">
        <f t="shared" ca="1" si="1"/>
        <v>1</v>
      </c>
      <c r="AD9" s="40">
        <f t="shared" ca="1" si="1"/>
        <v>1</v>
      </c>
      <c r="AE9" s="22">
        <f t="shared" ca="1" si="1"/>
        <v>1</v>
      </c>
      <c r="AF9" s="22">
        <f t="shared" ca="1" si="1"/>
        <v>1</v>
      </c>
      <c r="AG9" s="22">
        <f t="shared" ca="1" si="1"/>
        <v>1</v>
      </c>
      <c r="AH9" s="22">
        <f t="shared" ca="1" si="1"/>
        <v>1</v>
      </c>
      <c r="AI9" s="40">
        <f t="shared" ca="1" si="1"/>
        <v>1</v>
      </c>
      <c r="AJ9" s="22">
        <f t="shared" ca="1" si="1"/>
        <v>1</v>
      </c>
      <c r="AK9" s="22">
        <f t="shared" ca="1" si="1"/>
        <v>1</v>
      </c>
      <c r="AL9" s="22">
        <f t="shared" ca="1" si="1"/>
        <v>1</v>
      </c>
      <c r="AM9" s="22">
        <f t="shared" ca="1" si="1"/>
        <v>1</v>
      </c>
      <c r="AN9" s="40">
        <f t="shared" ca="1" si="1"/>
        <v>1</v>
      </c>
      <c r="AO9" s="22">
        <f t="shared" ca="1" si="1"/>
        <v>1</v>
      </c>
      <c r="AP9" s="22">
        <f t="shared" ca="1" si="1"/>
        <v>1</v>
      </c>
      <c r="AQ9" s="22">
        <f t="shared" ca="1" si="1"/>
        <v>1</v>
      </c>
    </row>
    <row r="10" spans="2:43" ht="12.75" customHeight="1" x14ac:dyDescent="0.15">
      <c r="J10" s="34"/>
      <c r="O10" s="34"/>
      <c r="T10" s="34"/>
      <c r="Y10" s="34"/>
      <c r="AD10" s="34"/>
      <c r="AI10" s="34"/>
      <c r="AN10" s="34"/>
    </row>
    <row r="11" spans="2:43" ht="12.75" customHeight="1" x14ac:dyDescent="0.15">
      <c r="C11" t="s">
        <v>68</v>
      </c>
      <c r="J11" s="42">
        <f>IF(J5&lt;=Ass.!$D$9,0,Ass.!$D$8)</f>
        <v>0</v>
      </c>
      <c r="K11" s="29">
        <f>IF(K5&lt;=Ass.!$D$9,0,Ass.!$D$8)</f>
        <v>0</v>
      </c>
      <c r="L11" s="29">
        <f>IF(L5&lt;=Ass.!$D$9,0,Ass.!$D$8)</f>
        <v>2.5000000000000001E-3</v>
      </c>
      <c r="M11" s="29">
        <f>IF(M5&lt;=Ass.!$D$9,0,Ass.!$D$8)</f>
        <v>2.5000000000000001E-3</v>
      </c>
      <c r="N11" s="29">
        <f>IF(N5&lt;=Ass.!$D$9,0,Ass.!$D$8)</f>
        <v>2.5000000000000001E-3</v>
      </c>
      <c r="O11" s="42">
        <f>IF(O5&lt;=Ass.!$D$9,0,Ass.!$D$8)</f>
        <v>2.5000000000000001E-3</v>
      </c>
      <c r="P11" s="29">
        <f>IF(P5&lt;=Ass.!$D$9,0,Ass.!$D$8)</f>
        <v>2.5000000000000001E-3</v>
      </c>
      <c r="Q11" s="29">
        <f>IF(Q5&lt;=Ass.!$D$9,0,Ass.!$D$8)</f>
        <v>2.5000000000000001E-3</v>
      </c>
      <c r="R11" s="29">
        <f>IF(R5&lt;=Ass.!$D$9,0,Ass.!$D$8)</f>
        <v>2.5000000000000001E-3</v>
      </c>
      <c r="S11" s="29">
        <f>IF(S5&lt;=Ass.!$D$9,0,Ass.!$D$8)</f>
        <v>2.5000000000000001E-3</v>
      </c>
      <c r="T11" s="42">
        <f>IF(T5&lt;=Ass.!$D$9,0,Ass.!$D$8)</f>
        <v>2.5000000000000001E-3</v>
      </c>
      <c r="U11" s="29">
        <f>IF(U5&lt;=Ass.!$D$9,0,Ass.!$D$8)</f>
        <v>2.5000000000000001E-3</v>
      </c>
      <c r="V11" s="29">
        <f>IF(V5&lt;=Ass.!$D$9,0,Ass.!$D$8)</f>
        <v>2.5000000000000001E-3</v>
      </c>
      <c r="W11" s="29">
        <f>IF(W5&lt;=Ass.!$D$9,0,Ass.!$D$8)</f>
        <v>2.5000000000000001E-3</v>
      </c>
      <c r="X11" s="29">
        <f>IF(X5&lt;=Ass.!$D$9,0,Ass.!$D$8)</f>
        <v>2.5000000000000001E-3</v>
      </c>
      <c r="Y11" s="42">
        <f>IF(Y5&lt;=Ass.!$D$9,0,Ass.!$D$8)</f>
        <v>2.5000000000000001E-3</v>
      </c>
      <c r="Z11" s="29">
        <f>IF(Z5&lt;=Ass.!$D$9,0,Ass.!$D$8)</f>
        <v>2.5000000000000001E-3</v>
      </c>
      <c r="AA11" s="29">
        <f>IF(AA5&lt;=Ass.!$D$9,0,Ass.!$D$8)</f>
        <v>2.5000000000000001E-3</v>
      </c>
      <c r="AB11" s="29">
        <f>IF(AB5&lt;=Ass.!$D$9,0,Ass.!$D$8)</f>
        <v>2.5000000000000001E-3</v>
      </c>
      <c r="AC11" s="29">
        <f>IF(AC5&lt;=Ass.!$D$9,0,Ass.!$D$8)</f>
        <v>2.5000000000000001E-3</v>
      </c>
      <c r="AD11" s="42">
        <f>IF(AD5&lt;=Ass.!$D$9,0,Ass.!$D$8)</f>
        <v>2.5000000000000001E-3</v>
      </c>
      <c r="AE11" s="29">
        <f>IF(AE5&lt;=Ass.!$D$9,0,Ass.!$D$8)</f>
        <v>2.5000000000000001E-3</v>
      </c>
      <c r="AF11" s="29">
        <f>IF(AF5&lt;=Ass.!$D$9,0,Ass.!$D$8)</f>
        <v>2.5000000000000001E-3</v>
      </c>
      <c r="AG11" s="29">
        <f>IF(AG5&lt;=Ass.!$D$9,0,Ass.!$D$8)</f>
        <v>2.5000000000000001E-3</v>
      </c>
      <c r="AH11" s="29">
        <f>IF(AH5&lt;=Ass.!$D$9,0,Ass.!$D$8)</f>
        <v>2.5000000000000001E-3</v>
      </c>
      <c r="AI11" s="42">
        <f>IF(AI5&lt;=Ass.!$D$9,0,Ass.!$D$8)</f>
        <v>2.5000000000000001E-3</v>
      </c>
      <c r="AJ11" s="29">
        <f>IF(AJ5&lt;=Ass.!$D$9,0,Ass.!$D$8)</f>
        <v>2.5000000000000001E-3</v>
      </c>
      <c r="AK11" s="29">
        <f>IF(AK5&lt;=Ass.!$D$9,0,Ass.!$D$8)</f>
        <v>2.5000000000000001E-3</v>
      </c>
      <c r="AL11" s="29">
        <f>IF(AL5&lt;=Ass.!$D$9,0,Ass.!$D$8)</f>
        <v>2.5000000000000001E-3</v>
      </c>
      <c r="AM11" s="29">
        <f>IF(AM5&lt;=Ass.!$D$9,0,Ass.!$D$8)</f>
        <v>2.5000000000000001E-3</v>
      </c>
      <c r="AN11" s="42">
        <f>IF(AN5&lt;=Ass.!$D$9,0,Ass.!$D$8)</f>
        <v>2.5000000000000001E-3</v>
      </c>
      <c r="AO11" s="29">
        <f>IF(AO5&lt;=Ass.!$D$9,0,Ass.!$D$8)</f>
        <v>2.5000000000000001E-3</v>
      </c>
      <c r="AP11" s="29">
        <f>IF(AP5&lt;=Ass.!$D$9,0,Ass.!$D$8)</f>
        <v>2.5000000000000001E-3</v>
      </c>
      <c r="AQ11" s="29">
        <f>IF(AQ5&lt;=Ass.!$D$9,0,Ass.!$D$8)</f>
        <v>2.5000000000000001E-3</v>
      </c>
    </row>
    <row r="12" spans="2:43" ht="12.75" customHeight="1" x14ac:dyDescent="0.15">
      <c r="J12" s="34"/>
      <c r="O12" s="34"/>
      <c r="T12" s="34"/>
      <c r="Y12" s="34"/>
      <c r="AD12" s="34"/>
      <c r="AI12" s="34"/>
      <c r="AN12" s="34"/>
    </row>
    <row r="13" spans="2:43" ht="12.75" customHeight="1" x14ac:dyDescent="0.15">
      <c r="C13" t="s">
        <v>67</v>
      </c>
      <c r="J13" s="42">
        <f>Ass.!D7*(1-J$11)</f>
        <v>0.65</v>
      </c>
      <c r="K13" s="29">
        <f t="shared" ref="K13:AQ13" si="2">J13*(1-K11)</f>
        <v>0.65</v>
      </c>
      <c r="L13" s="29">
        <f t="shared" si="2"/>
        <v>0.64837500000000003</v>
      </c>
      <c r="M13" s="29">
        <f t="shared" si="2"/>
        <v>0.64675406250000012</v>
      </c>
      <c r="N13" s="29">
        <f t="shared" si="2"/>
        <v>0.6451371773437502</v>
      </c>
      <c r="O13" s="42">
        <f t="shared" si="2"/>
        <v>0.64352433440039081</v>
      </c>
      <c r="P13" s="29">
        <f t="shared" si="2"/>
        <v>0.64191552356438986</v>
      </c>
      <c r="Q13" s="29">
        <f t="shared" si="2"/>
        <v>0.64031073475547895</v>
      </c>
      <c r="R13" s="29">
        <f t="shared" si="2"/>
        <v>0.63870995791859031</v>
      </c>
      <c r="S13" s="29">
        <f t="shared" si="2"/>
        <v>0.63711318302379383</v>
      </c>
      <c r="T13" s="42">
        <f t="shared" si="2"/>
        <v>0.63552040006623434</v>
      </c>
      <c r="U13" s="29">
        <f t="shared" si="2"/>
        <v>0.63393159906606877</v>
      </c>
      <c r="V13" s="29">
        <f t="shared" si="2"/>
        <v>0.63234677006840367</v>
      </c>
      <c r="W13" s="29">
        <f t="shared" si="2"/>
        <v>0.63076590314323266</v>
      </c>
      <c r="X13" s="29">
        <f t="shared" si="2"/>
        <v>0.62918898838537463</v>
      </c>
      <c r="Y13" s="42">
        <f t="shared" si="2"/>
        <v>0.62761601591441118</v>
      </c>
      <c r="Z13" s="29">
        <f t="shared" si="2"/>
        <v>0.62604697587462521</v>
      </c>
      <c r="AA13" s="29">
        <f t="shared" si="2"/>
        <v>0.62448185843493864</v>
      </c>
      <c r="AB13" s="29">
        <f t="shared" si="2"/>
        <v>0.62292065378885131</v>
      </c>
      <c r="AC13" s="29">
        <f t="shared" si="2"/>
        <v>0.62136335215437921</v>
      </c>
      <c r="AD13" s="42">
        <f t="shared" si="2"/>
        <v>0.61980994377399334</v>
      </c>
      <c r="AE13" s="29">
        <f t="shared" si="2"/>
        <v>0.61826041891455841</v>
      </c>
      <c r="AF13" s="29">
        <f t="shared" si="2"/>
        <v>0.61671476786727208</v>
      </c>
      <c r="AG13" s="29">
        <f t="shared" si="2"/>
        <v>0.61517298094760398</v>
      </c>
      <c r="AH13" s="29">
        <f t="shared" si="2"/>
        <v>0.61363504849523498</v>
      </c>
      <c r="AI13" s="42">
        <f t="shared" si="2"/>
        <v>0.6121009608739969</v>
      </c>
      <c r="AJ13" s="29">
        <f t="shared" si="2"/>
        <v>0.61057070847181194</v>
      </c>
      <c r="AK13" s="29">
        <f t="shared" si="2"/>
        <v>0.60904428170063241</v>
      </c>
      <c r="AL13" s="29">
        <f t="shared" si="2"/>
        <v>0.60752167099638088</v>
      </c>
      <c r="AM13" s="29">
        <f t="shared" si="2"/>
        <v>0.60600286681888993</v>
      </c>
      <c r="AN13" s="42">
        <f t="shared" si="2"/>
        <v>0.60448785965184271</v>
      </c>
      <c r="AO13" s="29">
        <f t="shared" si="2"/>
        <v>0.60297664000271312</v>
      </c>
      <c r="AP13" s="29">
        <f t="shared" si="2"/>
        <v>0.60146919840270641</v>
      </c>
      <c r="AQ13" s="29">
        <f t="shared" si="2"/>
        <v>0.59996552540669967</v>
      </c>
    </row>
    <row r="14" spans="2:43" ht="12.75" customHeight="1" x14ac:dyDescent="0.15">
      <c r="J14" s="42"/>
      <c r="K14" s="29"/>
      <c r="L14" s="29"/>
      <c r="M14" s="29"/>
      <c r="N14" s="29"/>
      <c r="O14" s="42"/>
      <c r="P14" s="29"/>
      <c r="Q14" s="29"/>
      <c r="R14" s="29"/>
      <c r="S14" s="29"/>
      <c r="T14" s="42"/>
      <c r="U14" s="29"/>
      <c r="V14" s="29"/>
      <c r="W14" s="29"/>
      <c r="X14" s="29"/>
      <c r="Y14" s="42"/>
      <c r="Z14" s="29"/>
      <c r="AA14" s="29"/>
      <c r="AB14" s="29"/>
      <c r="AC14" s="29"/>
      <c r="AD14" s="42"/>
      <c r="AE14" s="29"/>
      <c r="AF14" s="29"/>
      <c r="AG14" s="29"/>
      <c r="AH14" s="29"/>
      <c r="AI14" s="42"/>
      <c r="AJ14" s="29"/>
      <c r="AK14" s="29"/>
      <c r="AL14" s="29"/>
      <c r="AM14" s="29"/>
      <c r="AN14" s="42"/>
      <c r="AO14" s="29"/>
      <c r="AP14" s="29"/>
      <c r="AQ14" s="29"/>
    </row>
    <row r="15" spans="2:43" ht="12.75" customHeight="1" x14ac:dyDescent="0.15">
      <c r="J15" s="35"/>
      <c r="K15" s="36"/>
      <c r="L15" s="36"/>
      <c r="M15" s="36"/>
      <c r="N15" s="36"/>
      <c r="O15" s="35"/>
      <c r="P15" s="36"/>
      <c r="Q15" s="36"/>
      <c r="R15" s="36"/>
      <c r="S15" s="36"/>
      <c r="T15" s="35"/>
      <c r="U15" s="36"/>
      <c r="V15" s="36"/>
      <c r="W15" s="36"/>
      <c r="X15" s="36"/>
      <c r="Y15" s="35"/>
      <c r="Z15" s="36"/>
      <c r="AA15" s="36"/>
      <c r="AB15" s="36"/>
      <c r="AC15" s="36"/>
      <c r="AD15" s="35"/>
      <c r="AE15" s="36"/>
      <c r="AF15" s="36"/>
      <c r="AG15" s="36"/>
      <c r="AH15" s="36"/>
      <c r="AI15" s="35"/>
      <c r="AJ15" s="36"/>
      <c r="AK15" s="36"/>
      <c r="AL15" s="36"/>
      <c r="AM15" s="36"/>
      <c r="AN15" s="35"/>
      <c r="AO15" s="36"/>
      <c r="AP15" s="36"/>
      <c r="AQ15" s="36"/>
    </row>
    <row r="16" spans="2:43" ht="12.75" customHeight="1" x14ac:dyDescent="0.15">
      <c r="D16" s="72" t="s">
        <v>236</v>
      </c>
      <c r="J16" s="74">
        <f ca="1">IF(J23&gt;0,J$9*8760*'Gas prc.'!J17,0)</f>
        <v>2965.1856240000002</v>
      </c>
      <c r="K16" s="21">
        <f ca="1">IF(K23&gt;0,K$9*8760*'Gas prc.'!K17,0)</f>
        <v>2906.7066521311467</v>
      </c>
      <c r="L16" s="21">
        <f ca="1">IF(L23&gt;0,L$9*8760*'Gas prc.'!L17,0)</f>
        <v>2774.8763100000001</v>
      </c>
      <c r="M16" s="21">
        <f ca="1">IF(M23&gt;0,M$9*8760*'Gas prc.'!M17,0)</f>
        <v>2613.9963179999995</v>
      </c>
      <c r="N16" s="21">
        <f ca="1">IF(N23&gt;0,N$9*8760*'Gas prc.'!N17,0)</f>
        <v>2681.679024</v>
      </c>
      <c r="O16" s="41">
        <f ca="1">IF(O23&gt;0,O$9*8760*'Gas prc.'!O17,0)</f>
        <v>2646.2921545081967</v>
      </c>
      <c r="P16" s="21">
        <f ca="1">IF(P23&gt;0,P$9*8760*'Gas prc.'!P17,0)</f>
        <v>2621.9515259999998</v>
      </c>
      <c r="Q16" s="21">
        <f ca="1">IF(Q23&gt;0,Q$9*8760*'Gas prc.'!Q17,0)</f>
        <v>2621.9515259999998</v>
      </c>
      <c r="R16" s="21">
        <f ca="1">IF(R23&gt;0,R$9*8760*'Gas prc.'!R17,0)</f>
        <v>2715.1488119999995</v>
      </c>
      <c r="S16" s="21">
        <f ca="1">IF(S23&gt;0,S$9*8760*'Gas prc.'!S17,0)</f>
        <v>2717.2723881147531</v>
      </c>
      <c r="T16" s="41">
        <f ca="1">IF(T23&gt;0,T$9*8760*'Gas prc.'!T17,0)</f>
        <v>2704.0773480000003</v>
      </c>
      <c r="U16" s="21">
        <f ca="1">IF(U23&gt;0,U$9*8760*'Gas prc.'!U17,0)</f>
        <v>2715.1488119999995</v>
      </c>
      <c r="V16" s="21">
        <f ca="1">IF(V23&gt;0,V$9*8760*'Gas prc.'!V17,0)</f>
        <v>2621.9515259999998</v>
      </c>
      <c r="W16" s="21">
        <f ca="1">IF(W23&gt;0,W$9*8760*'Gas prc.'!W17,0)</f>
        <v>2586.7278463934426</v>
      </c>
      <c r="X16" s="21">
        <f ca="1">IF(X23&gt;0,X$9*8760*'Gas prc.'!X17,0)</f>
        <v>2546.9515379999998</v>
      </c>
      <c r="Y16" s="41">
        <f ca="1">IF(Y23&gt;0,Y$9*8760*'Gas prc.'!Y17,0)</f>
        <v>2546.9515379999998</v>
      </c>
      <c r="Z16" s="21">
        <f ca="1">IF(Z23&gt;0,Z$9*8760*'Gas prc.'!Z17,0)</f>
        <v>2558.0230019999999</v>
      </c>
      <c r="AA16" s="21">
        <f ca="1">IF(AA23&gt;0,AA$9*8760*'Gas prc.'!AA17,0)</f>
        <v>2467.6332350000002</v>
      </c>
      <c r="AB16" s="21">
        <f ca="1">IF(AB23&gt;0,AB$9*8760*'Gas prc.'!AB17,0)</f>
        <v>2476.8009840000009</v>
      </c>
      <c r="AC16" s="21">
        <f ca="1">IF(AC23&gt;0,AC$9*8760*'Gas prc.'!AC17,0)</f>
        <v>2476.8009840000009</v>
      </c>
      <c r="AD16" s="41">
        <f ca="1">IF(AD23&gt;0,AD$9*8760*'Gas prc.'!AD17,0)</f>
        <v>2476.8009840000009</v>
      </c>
      <c r="AE16" s="21">
        <f ca="1">IF(AE23&gt;0,AE$9*8760*'Gas prc.'!AE17,0)</f>
        <v>2476.8009840000009</v>
      </c>
      <c r="AF16" s="21">
        <f ca="1">IF(AF23&gt;0,AF$9*8760*'Gas prc.'!AF17,0)</f>
        <v>2476.8009840000009</v>
      </c>
      <c r="AG16" s="21">
        <f ca="1">IF(AG23&gt;0,AG$9*8760*'Gas prc.'!AG17,0)</f>
        <v>2476.8009840000009</v>
      </c>
      <c r="AH16" s="21">
        <f ca="1">IF(AH23&gt;0,AH$9*8760*'Gas prc.'!AH17,0)</f>
        <v>2476.8009840000009</v>
      </c>
      <c r="AI16" s="41">
        <f ca="1">IF(AI23&gt;0,AI$9*8760*'Gas prc.'!AI17,0)</f>
        <v>2476.8009840000009</v>
      </c>
      <c r="AJ16" s="21">
        <f ca="1">IF(AJ23&gt;0,AJ$9*8760*'Gas prc.'!AJ17,0)</f>
        <v>2476.8009840000009</v>
      </c>
      <c r="AK16" s="21">
        <f ca="1">IF(AK23&gt;0,AK$9*8760*'Gas prc.'!AK17,0)</f>
        <v>2476.8009840000009</v>
      </c>
      <c r="AL16" s="21">
        <f ca="1">IF(AL23&gt;0,AL$9*8760*'Gas prc.'!AL17,0)</f>
        <v>2476.8009840000009</v>
      </c>
      <c r="AM16" s="21">
        <f ca="1">IF(AM23&gt;0,AM$9*8760*'Gas prc.'!AM17,0)</f>
        <v>2476.8009840000009</v>
      </c>
      <c r="AN16" s="41">
        <f ca="1">IF(AN23&gt;0,AN$9*8760*'Gas prc.'!AN17,0)</f>
        <v>2476.8009840000009</v>
      </c>
      <c r="AO16" s="21">
        <f ca="1">IF(AO23&gt;0,AO$9*8760*'Gas prc.'!AO17,0)</f>
        <v>2476.8009840000009</v>
      </c>
      <c r="AP16" s="21">
        <f ca="1">IF(AP23&gt;0,AP$9*8760*'Gas prc.'!AP17,0)</f>
        <v>2476.8009840000009</v>
      </c>
      <c r="AQ16" s="21">
        <f ca="1">IF(AQ23&gt;0,AQ$9*8760*'Gas prc.'!AQ17,0)</f>
        <v>2476.8009840000009</v>
      </c>
    </row>
    <row r="17" spans="3:43" ht="12.75" customHeight="1" x14ac:dyDescent="0.15">
      <c r="D17" s="72" t="s">
        <v>237</v>
      </c>
      <c r="J17" s="74">
        <f>IF(J24&gt;0,J$9*8760*'Gas prc.'!J18,0)</f>
        <v>0</v>
      </c>
      <c r="K17" s="21">
        <f>IF(K24&gt;0,K$9*8760*'Gas prc.'!K18,0)</f>
        <v>0</v>
      </c>
      <c r="L17" s="21">
        <f>IF(L24&gt;0,L$9*8760*'Gas prc.'!L18,0)</f>
        <v>0</v>
      </c>
      <c r="M17" s="21">
        <f>IF(M24&gt;0,M$9*8760*'Gas prc.'!M18,0)</f>
        <v>0</v>
      </c>
      <c r="N17" s="21">
        <f>IF(N24&gt;0,N$9*8760*'Gas prc.'!N18,0)</f>
        <v>0</v>
      </c>
      <c r="O17" s="41">
        <f>IF(O24&gt;0,O$9*8760*'Gas prc.'!O18,0)</f>
        <v>0</v>
      </c>
      <c r="P17" s="21">
        <f>IF(P24&gt;0,P$9*8760*'Gas prc.'!P18,0)</f>
        <v>0</v>
      </c>
      <c r="Q17" s="21">
        <f>IF(Q24&gt;0,Q$9*8760*'Gas prc.'!Q18,0)</f>
        <v>0</v>
      </c>
      <c r="R17" s="21">
        <f>IF(R24&gt;0,R$9*8760*'Gas prc.'!R18,0)</f>
        <v>0</v>
      </c>
      <c r="S17" s="21">
        <f>IF(S24&gt;0,S$9*8760*'Gas prc.'!S18,0)</f>
        <v>0</v>
      </c>
      <c r="T17" s="41">
        <f>IF(T24&gt;0,T$9*8760*'Gas prc.'!T18,0)</f>
        <v>0</v>
      </c>
      <c r="U17" s="21">
        <f>IF(U24&gt;0,U$9*8760*'Gas prc.'!U18,0)</f>
        <v>0</v>
      </c>
      <c r="V17" s="21">
        <f>IF(V24&gt;0,V$9*8760*'Gas prc.'!V18,0)</f>
        <v>0</v>
      </c>
      <c r="W17" s="21">
        <f>IF(W24&gt;0,W$9*8760*'Gas prc.'!W18,0)</f>
        <v>0</v>
      </c>
      <c r="X17" s="21">
        <f>IF(X24&gt;0,X$9*8760*'Gas prc.'!X18,0)</f>
        <v>0</v>
      </c>
      <c r="Y17" s="41">
        <f>IF(Y24&gt;0,Y$9*8760*'Gas prc.'!Y18,0)</f>
        <v>0</v>
      </c>
      <c r="Z17" s="21">
        <f>IF(Z24&gt;0,Z$9*8760*'Gas prc.'!Z18,0)</f>
        <v>0</v>
      </c>
      <c r="AA17" s="21">
        <f>IF(AA24&gt;0,AA$9*8760*'Gas prc.'!AA18,0)</f>
        <v>0</v>
      </c>
      <c r="AB17" s="21">
        <f>IF(AB24&gt;0,AB$9*8760*'Gas prc.'!AB18,0)</f>
        <v>0</v>
      </c>
      <c r="AC17" s="21">
        <f>IF(AC24&gt;0,AC$9*8760*'Gas prc.'!AC18,0)</f>
        <v>0</v>
      </c>
      <c r="AD17" s="41">
        <f>IF(AD24&gt;0,AD$9*8760*'Gas prc.'!AD18,0)</f>
        <v>0</v>
      </c>
      <c r="AE17" s="21">
        <f>IF(AE24&gt;0,AE$9*8760*'Gas prc.'!AE18,0)</f>
        <v>0</v>
      </c>
      <c r="AF17" s="21">
        <f>IF(AF24&gt;0,AF$9*8760*'Gas prc.'!AF18,0)</f>
        <v>0</v>
      </c>
      <c r="AG17" s="21">
        <f>IF(AG24&gt;0,AG$9*8760*'Gas prc.'!AG18,0)</f>
        <v>0</v>
      </c>
      <c r="AH17" s="21">
        <f>IF(AH24&gt;0,AH$9*8760*'Gas prc.'!AH18,0)</f>
        <v>0</v>
      </c>
      <c r="AI17" s="41">
        <f>IF(AI24&gt;0,AI$9*8760*'Gas prc.'!AI18,0)</f>
        <v>0</v>
      </c>
      <c r="AJ17" s="21">
        <f>IF(AJ24&gt;0,AJ$9*8760*'Gas prc.'!AJ18,0)</f>
        <v>0</v>
      </c>
      <c r="AK17" s="21">
        <f>IF(AK24&gt;0,AK$9*8760*'Gas prc.'!AK18,0)</f>
        <v>0</v>
      </c>
      <c r="AL17" s="21">
        <f>IF(AL24&gt;0,AL$9*8760*'Gas prc.'!AL18,0)</f>
        <v>0</v>
      </c>
      <c r="AM17" s="21">
        <f>IF(AM24&gt;0,AM$9*8760*'Gas prc.'!AM18,0)</f>
        <v>0</v>
      </c>
      <c r="AN17" s="41">
        <f>IF(AN24&gt;0,AN$9*8760*'Gas prc.'!AN18,0)</f>
        <v>0</v>
      </c>
      <c r="AO17" s="21">
        <f>IF(AO24&gt;0,AO$9*8760*'Gas prc.'!AO18,0)</f>
        <v>0</v>
      </c>
      <c r="AP17" s="21">
        <f>IF(AP24&gt;0,AP$9*8760*'Gas prc.'!AP18,0)</f>
        <v>0</v>
      </c>
      <c r="AQ17" s="21">
        <f>IF(AQ24&gt;0,AQ$9*8760*'Gas prc.'!AQ18,0)</f>
        <v>0</v>
      </c>
    </row>
    <row r="18" spans="3:43" ht="12.75" customHeight="1" x14ac:dyDescent="0.15">
      <c r="C18" s="72"/>
      <c r="D18" t="s">
        <v>238</v>
      </c>
      <c r="J18" s="73">
        <f>'Gas prc.'!J14</f>
        <v>94.935648241494277</v>
      </c>
      <c r="K18" s="21">
        <f>'Gas prc.'!K14</f>
        <v>77.624437735862074</v>
      </c>
      <c r="L18" s="21">
        <f>'Gas prc.'!L14</f>
        <v>71.355248416896558</v>
      </c>
      <c r="M18" s="21">
        <f>'Gas prc.'!M14</f>
        <v>70.513290147931045</v>
      </c>
      <c r="N18" s="21">
        <f>'Gas prc.'!N14</f>
        <v>74.437042192758625</v>
      </c>
      <c r="O18" s="41">
        <f>'Gas prc.'!O14</f>
        <v>76.346904582413799</v>
      </c>
      <c r="P18" s="21">
        <f>'Gas prc.'!P14</f>
        <v>77.873842674062075</v>
      </c>
      <c r="Q18" s="21">
        <f>'Gas prc.'!Q14</f>
        <v>79.431319527543309</v>
      </c>
      <c r="R18" s="21">
        <f>'Gas prc.'!R14</f>
        <v>81.01994591809418</v>
      </c>
      <c r="S18" s="21">
        <f>'Gas prc.'!S14</f>
        <v>82.640344836456052</v>
      </c>
      <c r="T18" s="41">
        <f>'Gas prc.'!T14</f>
        <v>84.293151733179599</v>
      </c>
      <c r="U18" s="21">
        <f>'Gas prc.'!U14</f>
        <v>85.979014767833448</v>
      </c>
      <c r="V18" s="21">
        <f>'Gas prc.'!V14</f>
        <v>87.698595063206156</v>
      </c>
      <c r="W18" s="21">
        <f>'Gas prc.'!W14</f>
        <v>89.452566964486977</v>
      </c>
      <c r="X18" s="21">
        <f>'Gas prc.'!X14</f>
        <v>91.241618303760703</v>
      </c>
      <c r="Y18" s="41">
        <f>'Gas prc.'!Y14</f>
        <v>93.066450669838702</v>
      </c>
      <c r="Z18" s="21">
        <f>'Gas prc.'!Z14</f>
        <v>94.927779683241766</v>
      </c>
      <c r="AA18" s="21">
        <f>'Gas prc.'!AA14</f>
        <v>96.826335276881522</v>
      </c>
      <c r="AB18" s="21">
        <f>'Gas prc.'!AB14</f>
        <v>98.762861982432383</v>
      </c>
      <c r="AC18" s="21">
        <f>'Gas prc.'!AC14</f>
        <v>100.73811922207267</v>
      </c>
      <c r="AD18" s="41">
        <f>'Gas prc.'!AD14</f>
        <v>102.75288160652946</v>
      </c>
      <c r="AE18" s="21">
        <f>'Gas prc.'!AE14</f>
        <v>104.80793923865588</v>
      </c>
      <c r="AF18" s="21">
        <f>'Gas prc.'!AF14</f>
        <v>106.90409802344291</v>
      </c>
      <c r="AG18" s="21">
        <f>'Gas prc.'!AG14</f>
        <v>109.04217998390618</v>
      </c>
      <c r="AH18" s="21">
        <f>'Gas prc.'!AH14</f>
        <v>111.22302358357805</v>
      </c>
      <c r="AI18" s="41">
        <f>'Gas prc.'!AI14</f>
        <v>113.44748405525728</v>
      </c>
      <c r="AJ18" s="21">
        <f>'Gas prc.'!AJ14</f>
        <v>115.71643373633179</v>
      </c>
      <c r="AK18" s="21">
        <f>'Gas prc.'!AK14</f>
        <v>118.03076241106051</v>
      </c>
      <c r="AL18" s="21">
        <f>'Gas prc.'!AL14</f>
        <v>120.39137765929704</v>
      </c>
      <c r="AM18" s="21">
        <f>'Gas prc.'!AM14</f>
        <v>122.7992052124969</v>
      </c>
      <c r="AN18" s="41">
        <f>'Gas prc.'!AN14</f>
        <v>125.2551893167378</v>
      </c>
      <c r="AO18" s="21">
        <f>'Gas prc.'!AO14</f>
        <v>127.76029310307533</v>
      </c>
      <c r="AP18" s="21">
        <f>'Gas prc.'!AP14</f>
        <v>130.31549896514099</v>
      </c>
      <c r="AQ18" s="21">
        <f>'Gas prc.'!AQ14</f>
        <v>132.92180894444732</v>
      </c>
    </row>
    <row r="19" spans="3:43" ht="12.75" customHeight="1" x14ac:dyDescent="0.15">
      <c r="C19" s="72"/>
      <c r="D19" t="s">
        <v>239</v>
      </c>
      <c r="J19" s="73">
        <f>'Gas prc.'!J15</f>
        <v>84.246606807236148</v>
      </c>
      <c r="K19" s="21">
        <f>'Gas prc.'!K15</f>
        <v>65.808216558603121</v>
      </c>
      <c r="L19" s="21">
        <f>'Gas prc.'!L15</f>
        <v>57.926201408946987</v>
      </c>
      <c r="M19" s="21">
        <f>'Gas prc.'!M15</f>
        <v>52.917039682501589</v>
      </c>
      <c r="N19" s="21">
        <f>'Gas prc.'!N15</f>
        <v>58.786147412985848</v>
      </c>
      <c r="O19" s="41">
        <f>'Gas prc.'!O15</f>
        <v>62.582385096017958</v>
      </c>
      <c r="P19" s="21">
        <f>'Gas prc.'!P15</f>
        <v>65.882851174365342</v>
      </c>
      <c r="Q19" s="21">
        <f>'Gas prc.'!Q15</f>
        <v>67.44032802784659</v>
      </c>
      <c r="R19" s="21">
        <f>'Gas prc.'!R15</f>
        <v>71.383815725095175</v>
      </c>
      <c r="S19" s="21">
        <f>'Gas prc.'!S15</f>
        <v>72.996326701470323</v>
      </c>
      <c r="T19" s="41">
        <f>'Gas prc.'!T15</f>
        <v>75.54846781538194</v>
      </c>
      <c r="U19" s="21">
        <f>'Gas prc.'!U15</f>
        <v>76.342884574834457</v>
      </c>
      <c r="V19" s="21">
        <f>'Gas prc.'!V15</f>
        <v>75.707603563509437</v>
      </c>
      <c r="W19" s="21">
        <f>'Gas prc.'!W15</f>
        <v>79.57323140048976</v>
      </c>
      <c r="X19" s="21">
        <f>'Gas prc.'!X15</f>
        <v>83.662764247951927</v>
      </c>
      <c r="Y19" s="41">
        <f>'Gas prc.'!Y15</f>
        <v>85.487596614029925</v>
      </c>
      <c r="Z19" s="21">
        <f>'Gas prc.'!Z15</f>
        <v>86.387151346656651</v>
      </c>
      <c r="AA19" s="21">
        <f>'Gas prc.'!AA15</f>
        <v>85.718994905958951</v>
      </c>
      <c r="AB19" s="21">
        <f>'Gas prc.'!AB15</f>
        <v>86.734292443189261</v>
      </c>
      <c r="AC19" s="21">
        <f>'Gas prc.'!AC15</f>
        <v>88.709549682800002</v>
      </c>
      <c r="AD19" s="41">
        <f>'Gas prc.'!AD15</f>
        <v>90.724312067300005</v>
      </c>
      <c r="AE19" s="21">
        <f>'Gas prc.'!AE15</f>
        <v>92.779369699399993</v>
      </c>
      <c r="AF19" s="21">
        <f>'Gas prc.'!AF15</f>
        <v>94.875528484200004</v>
      </c>
      <c r="AG19" s="21">
        <f>'Gas prc.'!AG15</f>
        <v>97.013610444700006</v>
      </c>
      <c r="AH19" s="21">
        <f>'Gas prc.'!AH15</f>
        <v>99.194454044300002</v>
      </c>
      <c r="AI19" s="41">
        <f>'Gas prc.'!AI15</f>
        <v>101.418914516</v>
      </c>
      <c r="AJ19" s="21">
        <f>'Gas prc.'!AJ15</f>
        <v>103.6878641971</v>
      </c>
      <c r="AK19" s="21">
        <f>'Gas prc.'!AK15</f>
        <v>106.00219287180001</v>
      </c>
      <c r="AL19" s="21">
        <f>'Gas prc.'!AL15</f>
        <v>108.3628081201</v>
      </c>
      <c r="AM19" s="21">
        <f>'Gas prc.'!AM15</f>
        <v>110.77063567330001</v>
      </c>
      <c r="AN19" s="41">
        <f>'Gas prc.'!AN15</f>
        <v>113.22661977750001</v>
      </c>
      <c r="AO19" s="21">
        <f>'Gas prc.'!AO15</f>
        <v>115.7317235638</v>
      </c>
      <c r="AP19" s="21">
        <f>'Gas prc.'!AP15</f>
        <v>118.2869294259</v>
      </c>
      <c r="AQ19" s="21">
        <f>'Gas prc.'!AQ15</f>
        <v>120.89323940520001</v>
      </c>
    </row>
    <row r="20" spans="3:43" ht="12.75" customHeight="1" x14ac:dyDescent="0.15">
      <c r="C20" s="72"/>
      <c r="J20" s="73"/>
      <c r="K20" s="21"/>
      <c r="L20" s="21"/>
      <c r="M20" s="21"/>
      <c r="N20" s="21"/>
      <c r="O20" s="41"/>
      <c r="P20" s="21"/>
      <c r="Q20" s="21"/>
      <c r="R20" s="21"/>
      <c r="S20" s="21"/>
      <c r="T20" s="41"/>
      <c r="U20" s="21"/>
      <c r="V20" s="21"/>
      <c r="W20" s="21"/>
      <c r="X20" s="21"/>
      <c r="Y20" s="41"/>
      <c r="Z20" s="21"/>
      <c r="AA20" s="21"/>
      <c r="AB20" s="21"/>
      <c r="AC20" s="21"/>
      <c r="AD20" s="41"/>
      <c r="AE20" s="21"/>
      <c r="AF20" s="21"/>
      <c r="AG20" s="21"/>
      <c r="AH20" s="21"/>
      <c r="AI20" s="41"/>
      <c r="AJ20" s="21"/>
      <c r="AK20" s="21"/>
      <c r="AL20" s="21"/>
      <c r="AM20" s="21"/>
      <c r="AN20" s="41"/>
      <c r="AO20" s="21"/>
      <c r="AP20" s="21"/>
      <c r="AQ20" s="21"/>
    </row>
    <row r="21" spans="3:43" ht="12.75" customHeight="1" x14ac:dyDescent="0.15">
      <c r="C21" s="72"/>
      <c r="D21" t="s">
        <v>240</v>
      </c>
      <c r="J21" s="73">
        <f>1/J13*('Gas prc.'!J7+'Gas prc.'!J9*Ass.!$D$41)</f>
        <v>84.711801641025644</v>
      </c>
      <c r="K21" s="21">
        <f>1/K13*('Gas prc.'!K7+'Gas prc.'!K9*Ass.!$D$41)</f>
        <v>69.264875076923076</v>
      </c>
      <c r="L21" s="21">
        <f>1/L13*('Gas prc.'!L7+'Gas prc.'!L9*Ass.!$D$41)</f>
        <v>63.830404935415459</v>
      </c>
      <c r="M21" s="21">
        <f>1/M13*('Gas prc.'!M7+'Gas prc.'!M9*Ass.!$D$41)</f>
        <v>63.235324169301215</v>
      </c>
      <c r="N21" s="21">
        <f>1/N13*('Gas prc.'!N7+'Gas prc.'!N9*Ass.!$D$41)</f>
        <v>66.921393334918221</v>
      </c>
      <c r="O21" s="41">
        <f>1/O13*('Gas prc.'!O7+'Gas prc.'!O9*Ass.!$D$41)</f>
        <v>68.810449633205209</v>
      </c>
      <c r="P21" s="21">
        <f>1/P13*('Gas prc.'!P7+'Gas prc.'!P9*Ass.!$D$41)</f>
        <v>70.36256503846549</v>
      </c>
      <c r="Q21" s="21">
        <f>1/Q13*('Gas prc.'!Q7+'Gas prc.'!Q9*Ass.!$D$41)</f>
        <v>71.949690565648893</v>
      </c>
      <c r="R21" s="21">
        <f>1/R13*('Gas prc.'!R7+'Gas prc.'!R9*Ass.!$D$41)</f>
        <v>73.572615916753762</v>
      </c>
      <c r="S21" s="21">
        <f>1/S13*('Gas prc.'!S7+'Gas prc.'!S9*Ass.!$D$41)</f>
        <v>75.23214860660535</v>
      </c>
      <c r="T21" s="41">
        <f>1/T13*('Gas prc.'!T7+'Gas prc.'!T9*Ass.!$D$41)</f>
        <v>76.929114364643979</v>
      </c>
      <c r="U21" s="21">
        <f>1/U13*('Gas prc.'!U7+'Gas prc.'!U9*Ass.!$D$41)</f>
        <v>78.664357545792441</v>
      </c>
      <c r="V21" s="21">
        <f>1/V13*('Gas prc.'!V7+'Gas prc.'!V9*Ass.!$D$41)</f>
        <v>80.43874155059946</v>
      </c>
      <c r="W21" s="21">
        <f>1/W13*('Gas prc.'!W7+'Gas prc.'!W9*Ass.!$D$41)</f>
        <v>82.25314925476367</v>
      </c>
      <c r="X21" s="21">
        <f>1/X13*('Gas prc.'!X7+'Gas prc.'!X9*Ass.!$D$41)</f>
        <v>84.108483448465378</v>
      </c>
      <c r="Y21" s="41">
        <f>1/Y13*('Gas prc.'!Y7+'Gas prc.'!Y9*Ass.!$D$41)</f>
        <v>86.005667285651384</v>
      </c>
      <c r="Z21" s="21">
        <f>1/Z13*('Gas prc.'!Z7+'Gas prc.'!Z9*Ass.!$D$41)</f>
        <v>87.945644743228286</v>
      </c>
      <c r="AA21" s="21">
        <f>1/AA13*('Gas prc.'!AA7+'Gas prc.'!AA9*Ass.!$D$41)</f>
        <v>89.92938109079661</v>
      </c>
      <c r="AB21" s="21">
        <f>1/AB13*('Gas prc.'!AB7+'Gas prc.'!AB9*Ass.!$D$41)</f>
        <v>91.957863371052454</v>
      </c>
      <c r="AC21" s="21">
        <f>1/AC13*('Gas prc.'!AC7+'Gas prc.'!AC9*Ass.!$D$41)</f>
        <v>94.032100890692462</v>
      </c>
      <c r="AD21" s="41">
        <f>1/AD13*('Gas prc.'!AD7+'Gas prc.'!AD9*Ass.!$D$41)</f>
        <v>96.153125722827667</v>
      </c>
      <c r="AE21" s="21">
        <f>1/AE13*('Gas prc.'!AE7+'Gas prc.'!AE9*Ass.!$D$41)</f>
        <v>98.321993220331137</v>
      </c>
      <c r="AF21" s="21">
        <f>1/AF13*('Gas prc.'!AF7+'Gas prc.'!AF9*Ass.!$D$41)</f>
        <v>100.53978254110358</v>
      </c>
      <c r="AG21" s="21">
        <f>1/AG13*('Gas prc.'!AG7+'Gas prc.'!AG9*Ass.!$D$41)</f>
        <v>102.80759718488258</v>
      </c>
      <c r="AH21" s="21">
        <f>1/AH13*('Gas prc.'!AH7+'Gas prc.'!AH9*Ass.!$D$41)</f>
        <v>105.12656554243041</v>
      </c>
      <c r="AI21" s="41">
        <f>1/AI13*('Gas prc.'!AI7+'Gas prc.'!AI9*Ass.!$D$41)</f>
        <v>107.49784145692858</v>
      </c>
      <c r="AJ21" s="21">
        <f>1/AJ13*('Gas prc.'!AJ7+'Gas prc.'!AJ9*Ass.!$D$41)</f>
        <v>109.92260479803321</v>
      </c>
      <c r="AK21" s="21">
        <f>1/AK13*('Gas prc.'!AK7+'Gas prc.'!AK9*Ass.!$D$41)</f>
        <v>112.40206204911864</v>
      </c>
      <c r="AL21" s="21">
        <f>1/AL13*('Gas prc.'!AL7+'Gas prc.'!AL9*Ass.!$D$41)</f>
        <v>114.93744690738407</v>
      </c>
      <c r="AM21" s="21">
        <f>1/AM13*('Gas prc.'!AM7+'Gas prc.'!AM9*Ass.!$D$41)</f>
        <v>117.5300208977895</v>
      </c>
      <c r="AN21" s="41">
        <f>1/AN13*('Gas prc.'!AN7+'Gas prc.'!AN9*Ass.!$D$41)</f>
        <v>120.18107400073848</v>
      </c>
      <c r="AO21" s="21">
        <f>1/AO13*('Gas prc.'!AO7+'Gas prc.'!AO9*Ass.!$D$41)</f>
        <v>122.89192529399088</v>
      </c>
      <c r="AP21" s="21">
        <f>1/AP13*('Gas prc.'!AP7+'Gas prc.'!AP9*Ass.!$D$41)</f>
        <v>125.66392360889692</v>
      </c>
      <c r="AQ21" s="21">
        <f>1/AQ13*('Gas prc.'!AQ7+'Gas prc.'!AQ9*Ass.!$D$41)</f>
        <v>128.49844820158219</v>
      </c>
    </row>
    <row r="22" spans="3:43" ht="12.75" customHeight="1" x14ac:dyDescent="0.15">
      <c r="C22" s="72"/>
      <c r="J22" s="73"/>
      <c r="K22" s="21"/>
      <c r="L22" s="21"/>
      <c r="M22" s="21"/>
      <c r="N22" s="21"/>
      <c r="O22" s="41"/>
      <c r="P22" s="21"/>
      <c r="Q22" s="21"/>
      <c r="R22" s="21"/>
      <c r="S22" s="21"/>
      <c r="T22" s="41"/>
      <c r="U22" s="21"/>
      <c r="V22" s="21"/>
      <c r="W22" s="21"/>
      <c r="X22" s="21"/>
      <c r="Y22" s="41"/>
      <c r="Z22" s="21"/>
      <c r="AA22" s="21"/>
      <c r="AB22" s="21"/>
      <c r="AC22" s="21"/>
      <c r="AD22" s="41"/>
      <c r="AE22" s="21"/>
      <c r="AF22" s="21"/>
      <c r="AG22" s="21"/>
      <c r="AH22" s="21"/>
      <c r="AI22" s="41"/>
      <c r="AJ22" s="21"/>
      <c r="AK22" s="21"/>
      <c r="AL22" s="21"/>
      <c r="AM22" s="21"/>
      <c r="AN22" s="41"/>
      <c r="AO22" s="21"/>
      <c r="AP22" s="21"/>
      <c r="AQ22" s="21"/>
    </row>
    <row r="23" spans="3:43" ht="12.75" customHeight="1" x14ac:dyDescent="0.15">
      <c r="C23" s="72"/>
      <c r="E23" t="s">
        <v>241</v>
      </c>
      <c r="J23" s="73">
        <f t="shared" ref="J23:AQ23" si="3">J18-J21</f>
        <v>10.223846600468633</v>
      </c>
      <c r="K23" s="78">
        <f t="shared" si="3"/>
        <v>8.359562658938998</v>
      </c>
      <c r="L23" s="78">
        <f t="shared" si="3"/>
        <v>7.5248434814810992</v>
      </c>
      <c r="M23" s="78">
        <f t="shared" si="3"/>
        <v>7.2779659786298296</v>
      </c>
      <c r="N23" s="78">
        <f t="shared" si="3"/>
        <v>7.5156488578404037</v>
      </c>
      <c r="O23" s="73">
        <f t="shared" si="3"/>
        <v>7.5364549492085899</v>
      </c>
      <c r="P23" s="78">
        <f t="shared" si="3"/>
        <v>7.5112776355965849</v>
      </c>
      <c r="Q23" s="78">
        <f t="shared" si="3"/>
        <v>7.4816289618944154</v>
      </c>
      <c r="R23" s="78">
        <f t="shared" si="3"/>
        <v>7.4473300013404184</v>
      </c>
      <c r="S23" s="78">
        <f t="shared" si="3"/>
        <v>7.4081962298507023</v>
      </c>
      <c r="T23" s="73">
        <f t="shared" si="3"/>
        <v>7.3640373685356195</v>
      </c>
      <c r="U23" s="78">
        <f t="shared" si="3"/>
        <v>7.3146572220410064</v>
      </c>
      <c r="V23" s="78">
        <f t="shared" si="3"/>
        <v>7.2598535126066963</v>
      </c>
      <c r="W23" s="78">
        <f t="shared" si="3"/>
        <v>7.1994177097233063</v>
      </c>
      <c r="X23" s="78">
        <f t="shared" si="3"/>
        <v>7.1331348552953244</v>
      </c>
      <c r="Y23" s="73">
        <f t="shared" si="3"/>
        <v>7.0607833841873173</v>
      </c>
      <c r="Z23" s="78">
        <f t="shared" si="3"/>
        <v>6.9821349400134807</v>
      </c>
      <c r="AA23" s="78">
        <f t="shared" si="3"/>
        <v>6.896954186084912</v>
      </c>
      <c r="AB23" s="78">
        <f t="shared" si="3"/>
        <v>6.8049986113799292</v>
      </c>
      <c r="AC23" s="78">
        <f t="shared" si="3"/>
        <v>6.7060183313802071</v>
      </c>
      <c r="AD23" s="73">
        <f t="shared" si="3"/>
        <v>6.5997558837017891</v>
      </c>
      <c r="AE23" s="78">
        <f t="shared" si="3"/>
        <v>6.4859460183247393</v>
      </c>
      <c r="AF23" s="78">
        <f t="shared" si="3"/>
        <v>6.364315482339336</v>
      </c>
      <c r="AG23" s="78">
        <f t="shared" si="3"/>
        <v>6.2345827990235989</v>
      </c>
      <c r="AH23" s="78">
        <f t="shared" si="3"/>
        <v>6.0964580411476419</v>
      </c>
      <c r="AI23" s="73">
        <f t="shared" si="3"/>
        <v>5.949642598328694</v>
      </c>
      <c r="AJ23" s="78">
        <f t="shared" si="3"/>
        <v>5.7938289382985886</v>
      </c>
      <c r="AK23" s="78">
        <f t="shared" si="3"/>
        <v>5.628700361941867</v>
      </c>
      <c r="AL23" s="78">
        <f t="shared" si="3"/>
        <v>5.4539307519129636</v>
      </c>
      <c r="AM23" s="78">
        <f t="shared" si="3"/>
        <v>5.2691843147074025</v>
      </c>
      <c r="AN23" s="73">
        <f t="shared" si="3"/>
        <v>5.0741153159993218</v>
      </c>
      <c r="AO23" s="78">
        <f t="shared" si="3"/>
        <v>4.8683678090844467</v>
      </c>
      <c r="AP23" s="78">
        <f t="shared" si="3"/>
        <v>4.6515753562440665</v>
      </c>
      <c r="AQ23" s="78">
        <f t="shared" si="3"/>
        <v>4.4233607428651283</v>
      </c>
    </row>
    <row r="24" spans="3:43" ht="12.75" customHeight="1" x14ac:dyDescent="0.15">
      <c r="C24" s="72"/>
      <c r="E24" t="s">
        <v>242</v>
      </c>
      <c r="J24" s="73">
        <f t="shared" ref="J24:AQ24" si="4">J19-J21</f>
        <v>-0.46519483378949644</v>
      </c>
      <c r="K24" s="78">
        <f t="shared" si="4"/>
        <v>-3.456658518319955</v>
      </c>
      <c r="L24" s="78">
        <f t="shared" si="4"/>
        <v>-5.9042035264684714</v>
      </c>
      <c r="M24" s="78">
        <f t="shared" si="4"/>
        <v>-10.318284486799627</v>
      </c>
      <c r="N24" s="78">
        <f t="shared" si="4"/>
        <v>-8.1352459219323734</v>
      </c>
      <c r="O24" s="73">
        <f t="shared" si="4"/>
        <v>-6.2280645371872509</v>
      </c>
      <c r="P24" s="78">
        <f t="shared" si="4"/>
        <v>-4.4797138641001482</v>
      </c>
      <c r="Q24" s="78">
        <f t="shared" si="4"/>
        <v>-4.5093625378023035</v>
      </c>
      <c r="R24" s="78">
        <f t="shared" si="4"/>
        <v>-2.1888001916585864</v>
      </c>
      <c r="S24" s="78">
        <f t="shared" si="4"/>
        <v>-2.2358219051350261</v>
      </c>
      <c r="T24" s="73">
        <f t="shared" si="4"/>
        <v>-1.380646549262039</v>
      </c>
      <c r="U24" s="78">
        <f t="shared" si="4"/>
        <v>-2.3214729709579842</v>
      </c>
      <c r="V24" s="78">
        <f t="shared" si="4"/>
        <v>-4.7311379870900225</v>
      </c>
      <c r="W24" s="78">
        <f t="shared" si="4"/>
        <v>-2.6799178542739099</v>
      </c>
      <c r="X24" s="78">
        <f t="shared" si="4"/>
        <v>-0.4457192005134516</v>
      </c>
      <c r="Y24" s="73">
        <f t="shared" si="4"/>
        <v>-0.5180706716214587</v>
      </c>
      <c r="Z24" s="78">
        <f t="shared" si="4"/>
        <v>-1.5584933965716345</v>
      </c>
      <c r="AA24" s="78">
        <f t="shared" si="4"/>
        <v>-4.2103861848376596</v>
      </c>
      <c r="AB24" s="78">
        <f t="shared" si="4"/>
        <v>-5.223570927863193</v>
      </c>
      <c r="AC24" s="78">
        <f t="shared" si="4"/>
        <v>-5.3225512078924595</v>
      </c>
      <c r="AD24" s="73">
        <f t="shared" si="4"/>
        <v>-5.4288136555276623</v>
      </c>
      <c r="AE24" s="78">
        <f t="shared" si="4"/>
        <v>-5.5426235209311443</v>
      </c>
      <c r="AF24" s="78">
        <f t="shared" si="4"/>
        <v>-5.6642540569035731</v>
      </c>
      <c r="AG24" s="78">
        <f t="shared" si="4"/>
        <v>-5.7939867401825751</v>
      </c>
      <c r="AH24" s="78">
        <f t="shared" si="4"/>
        <v>-5.9321114981304106</v>
      </c>
      <c r="AI24" s="73">
        <f t="shared" si="4"/>
        <v>-6.0789269409285822</v>
      </c>
      <c r="AJ24" s="78">
        <f t="shared" si="4"/>
        <v>-6.2347406009332076</v>
      </c>
      <c r="AK24" s="78">
        <f t="shared" si="4"/>
        <v>-6.3998691773186351</v>
      </c>
      <c r="AL24" s="78">
        <f t="shared" si="4"/>
        <v>-6.5746387872840728</v>
      </c>
      <c r="AM24" s="78">
        <f t="shared" si="4"/>
        <v>-6.7593852244894919</v>
      </c>
      <c r="AN24" s="73">
        <f t="shared" si="4"/>
        <v>-6.9544542232384714</v>
      </c>
      <c r="AO24" s="78">
        <f t="shared" si="4"/>
        <v>-7.1602017301908774</v>
      </c>
      <c r="AP24" s="78">
        <f t="shared" si="4"/>
        <v>-7.3769941829969241</v>
      </c>
      <c r="AQ24" s="78">
        <f t="shared" si="4"/>
        <v>-7.6052087963821862</v>
      </c>
    </row>
    <row r="25" spans="3:43" ht="12.75" customHeight="1" x14ac:dyDescent="0.15">
      <c r="C25" s="72"/>
      <c r="J25" s="73"/>
      <c r="K25" s="78"/>
      <c r="L25" s="78"/>
      <c r="M25" s="78"/>
      <c r="N25" s="78"/>
      <c r="O25" s="73"/>
      <c r="P25" s="78"/>
      <c r="Q25" s="78"/>
      <c r="R25" s="78"/>
      <c r="S25" s="78"/>
      <c r="T25" s="73"/>
      <c r="U25" s="78"/>
      <c r="V25" s="78"/>
      <c r="W25" s="78"/>
      <c r="X25" s="78"/>
      <c r="Y25" s="73"/>
      <c r="Z25" s="78"/>
      <c r="AA25" s="78"/>
      <c r="AB25" s="78"/>
      <c r="AC25" s="78"/>
      <c r="AD25" s="73"/>
      <c r="AE25" s="78"/>
      <c r="AF25" s="78"/>
      <c r="AG25" s="78"/>
      <c r="AH25" s="78"/>
      <c r="AI25" s="73"/>
      <c r="AJ25" s="78"/>
      <c r="AK25" s="78"/>
      <c r="AL25" s="78"/>
      <c r="AM25" s="78"/>
      <c r="AN25" s="73"/>
      <c r="AO25" s="78"/>
      <c r="AP25" s="78"/>
      <c r="AQ25" s="78"/>
    </row>
    <row r="26" spans="3:43" ht="12.75" customHeight="1" x14ac:dyDescent="0.15">
      <c r="C26" s="72" t="s">
        <v>243</v>
      </c>
      <c r="J26" s="41">
        <f t="shared" ref="J26:AQ26" ca="1" si="5">SUM(J16:J17)</f>
        <v>2965.1856240000002</v>
      </c>
      <c r="K26" s="21">
        <f t="shared" ca="1" si="5"/>
        <v>2906.7066521311467</v>
      </c>
      <c r="L26" s="21">
        <f t="shared" ca="1" si="5"/>
        <v>2774.8763100000001</v>
      </c>
      <c r="M26" s="21">
        <f t="shared" ca="1" si="5"/>
        <v>2613.9963179999995</v>
      </c>
      <c r="N26" s="21">
        <f t="shared" ca="1" si="5"/>
        <v>2681.679024</v>
      </c>
      <c r="O26" s="41">
        <f t="shared" ca="1" si="5"/>
        <v>2646.2921545081967</v>
      </c>
      <c r="P26" s="21">
        <f t="shared" ca="1" si="5"/>
        <v>2621.9515259999998</v>
      </c>
      <c r="Q26" s="21">
        <f t="shared" ca="1" si="5"/>
        <v>2621.9515259999998</v>
      </c>
      <c r="R26" s="21">
        <f t="shared" ca="1" si="5"/>
        <v>2715.1488119999995</v>
      </c>
      <c r="S26" s="21">
        <f t="shared" ca="1" si="5"/>
        <v>2717.2723881147531</v>
      </c>
      <c r="T26" s="41">
        <f t="shared" ca="1" si="5"/>
        <v>2704.0773480000003</v>
      </c>
      <c r="U26" s="21">
        <f t="shared" ca="1" si="5"/>
        <v>2715.1488119999995</v>
      </c>
      <c r="V26" s="21">
        <f t="shared" ca="1" si="5"/>
        <v>2621.9515259999998</v>
      </c>
      <c r="W26" s="21">
        <f t="shared" ca="1" si="5"/>
        <v>2586.7278463934426</v>
      </c>
      <c r="X26" s="21">
        <f t="shared" ca="1" si="5"/>
        <v>2546.9515379999998</v>
      </c>
      <c r="Y26" s="41">
        <f t="shared" ca="1" si="5"/>
        <v>2546.9515379999998</v>
      </c>
      <c r="Z26" s="21">
        <f t="shared" ca="1" si="5"/>
        <v>2558.0230019999999</v>
      </c>
      <c r="AA26" s="21">
        <f t="shared" ca="1" si="5"/>
        <v>2467.6332350000002</v>
      </c>
      <c r="AB26" s="21">
        <f t="shared" ca="1" si="5"/>
        <v>2476.8009840000009</v>
      </c>
      <c r="AC26" s="21">
        <f t="shared" ca="1" si="5"/>
        <v>2476.8009840000009</v>
      </c>
      <c r="AD26" s="41">
        <f t="shared" ca="1" si="5"/>
        <v>2476.8009840000009</v>
      </c>
      <c r="AE26" s="21">
        <f t="shared" ca="1" si="5"/>
        <v>2476.8009840000009</v>
      </c>
      <c r="AF26" s="21">
        <f t="shared" ca="1" si="5"/>
        <v>2476.8009840000009</v>
      </c>
      <c r="AG26" s="21">
        <f t="shared" ca="1" si="5"/>
        <v>2476.8009840000009</v>
      </c>
      <c r="AH26" s="21">
        <f t="shared" ca="1" si="5"/>
        <v>2476.8009840000009</v>
      </c>
      <c r="AI26" s="41">
        <f t="shared" ca="1" si="5"/>
        <v>2476.8009840000009</v>
      </c>
      <c r="AJ26" s="21">
        <f t="shared" ca="1" si="5"/>
        <v>2476.8009840000009</v>
      </c>
      <c r="AK26" s="21">
        <f t="shared" ca="1" si="5"/>
        <v>2476.8009840000009</v>
      </c>
      <c r="AL26" s="21">
        <f t="shared" ca="1" si="5"/>
        <v>2476.8009840000009</v>
      </c>
      <c r="AM26" s="21">
        <f t="shared" ca="1" si="5"/>
        <v>2476.8009840000009</v>
      </c>
      <c r="AN26" s="41">
        <f t="shared" ca="1" si="5"/>
        <v>2476.8009840000009</v>
      </c>
      <c r="AO26" s="21">
        <f t="shared" ca="1" si="5"/>
        <v>2476.8009840000009</v>
      </c>
      <c r="AP26" s="21">
        <f t="shared" ca="1" si="5"/>
        <v>2476.8009840000009</v>
      </c>
      <c r="AQ26" s="21">
        <f t="shared" ca="1" si="5"/>
        <v>2476.8009840000009</v>
      </c>
    </row>
    <row r="27" spans="3:43" ht="12.75" customHeight="1" x14ac:dyDescent="0.15">
      <c r="C27" s="72"/>
      <c r="J27" s="35"/>
      <c r="K27" s="21"/>
      <c r="L27" s="21"/>
      <c r="M27" s="21"/>
      <c r="N27" s="21"/>
      <c r="O27" s="41"/>
      <c r="P27" s="21"/>
      <c r="Q27" s="21"/>
      <c r="R27" s="21"/>
      <c r="S27" s="21"/>
      <c r="T27" s="41"/>
      <c r="U27" s="21"/>
      <c r="V27" s="21"/>
      <c r="W27" s="21"/>
      <c r="X27" s="21"/>
      <c r="Y27" s="41"/>
      <c r="Z27" s="21"/>
      <c r="AA27" s="21"/>
      <c r="AB27" s="21"/>
      <c r="AC27" s="21"/>
      <c r="AD27" s="41"/>
      <c r="AE27" s="21"/>
      <c r="AF27" s="21"/>
      <c r="AG27" s="21"/>
      <c r="AH27" s="21"/>
      <c r="AI27" s="41"/>
      <c r="AJ27" s="21"/>
      <c r="AK27" s="21"/>
      <c r="AL27" s="21"/>
      <c r="AM27" s="21"/>
      <c r="AN27" s="41"/>
      <c r="AO27" s="21"/>
      <c r="AP27" s="21"/>
      <c r="AQ27" s="21"/>
    </row>
    <row r="28" spans="3:43" ht="12.75" customHeight="1" x14ac:dyDescent="0.15">
      <c r="C28" s="72"/>
      <c r="D28" t="s">
        <v>244</v>
      </c>
      <c r="J28" s="41">
        <f ca="1">Ass.!$D$6*Ops.!J16</f>
        <v>1482592.8120000002</v>
      </c>
      <c r="K28" s="21">
        <f ca="1">Ass.!$D$6*Ops.!K16</f>
        <v>1453353.3260655734</v>
      </c>
      <c r="L28" s="21">
        <f ca="1">Ass.!$D$6*Ops.!L16</f>
        <v>1387438.155</v>
      </c>
      <c r="M28" s="21">
        <f ca="1">Ass.!$D$6*Ops.!M16</f>
        <v>1306998.1589999998</v>
      </c>
      <c r="N28" s="21">
        <f ca="1">Ass.!$D$6*Ops.!N16</f>
        <v>1340839.5120000001</v>
      </c>
      <c r="O28" s="41">
        <f ca="1">Ass.!$D$6*Ops.!O16</f>
        <v>1323146.0772540984</v>
      </c>
      <c r="P28" s="21">
        <f ca="1">Ass.!$D$6*Ops.!P16</f>
        <v>1310975.7629999998</v>
      </c>
      <c r="Q28" s="21">
        <f ca="1">Ass.!$D$6*Ops.!Q16</f>
        <v>1310975.7629999998</v>
      </c>
      <c r="R28" s="21">
        <f ca="1">Ass.!$D$6*Ops.!R16</f>
        <v>1357574.4059999997</v>
      </c>
      <c r="S28" s="21">
        <f ca="1">Ass.!$D$6*Ops.!S16</f>
        <v>1358636.1940573766</v>
      </c>
      <c r="T28" s="41">
        <f ca="1">Ass.!$D$6*Ops.!T16</f>
        <v>1352038.6740000001</v>
      </c>
      <c r="U28" s="21">
        <f ca="1">Ass.!$D$6*Ops.!U16</f>
        <v>1357574.4059999997</v>
      </c>
      <c r="V28" s="21">
        <f ca="1">Ass.!$D$6*Ops.!V16</f>
        <v>1310975.7629999998</v>
      </c>
      <c r="W28" s="21">
        <f ca="1">Ass.!$D$6*Ops.!W16</f>
        <v>1293363.9231967214</v>
      </c>
      <c r="X28" s="21">
        <f ca="1">Ass.!$D$6*Ops.!X16</f>
        <v>1273475.7689999999</v>
      </c>
      <c r="Y28" s="41">
        <f ca="1">Ass.!$D$6*Ops.!Y16</f>
        <v>1273475.7689999999</v>
      </c>
      <c r="Z28" s="21">
        <f ca="1">Ass.!$D$6*Ops.!Z16</f>
        <v>1279011.5009999999</v>
      </c>
      <c r="AA28" s="21">
        <f ca="1">Ass.!$D$6*Ops.!AA16</f>
        <v>1233816.6175000002</v>
      </c>
      <c r="AB28" s="21">
        <f ca="1">Ass.!$D$6*Ops.!AB16</f>
        <v>1238400.4920000006</v>
      </c>
      <c r="AC28" s="21">
        <f ca="1">Ass.!$D$6*Ops.!AC16</f>
        <v>1238400.4920000006</v>
      </c>
      <c r="AD28" s="41">
        <f ca="1">Ass.!$D$6*Ops.!AD16</f>
        <v>1238400.4920000006</v>
      </c>
      <c r="AE28" s="21">
        <f ca="1">Ass.!$D$6*Ops.!AE16</f>
        <v>1238400.4920000006</v>
      </c>
      <c r="AF28" s="21">
        <f ca="1">Ass.!$D$6*Ops.!AF16</f>
        <v>1238400.4920000006</v>
      </c>
      <c r="AG28" s="21">
        <f ca="1">Ass.!$D$6*Ops.!AG16</f>
        <v>1238400.4920000006</v>
      </c>
      <c r="AH28" s="21">
        <f ca="1">Ass.!$D$6*Ops.!AH16</f>
        <v>1238400.4920000006</v>
      </c>
      <c r="AI28" s="41">
        <f ca="1">Ass.!$D$6*Ops.!AI16</f>
        <v>1238400.4920000006</v>
      </c>
      <c r="AJ28" s="21">
        <f ca="1">Ass.!$D$6*Ops.!AJ16</f>
        <v>1238400.4920000006</v>
      </c>
      <c r="AK28" s="21">
        <f ca="1">Ass.!$D$6*Ops.!AK16</f>
        <v>1238400.4920000006</v>
      </c>
      <c r="AL28" s="21">
        <f ca="1">Ass.!$D$6*Ops.!AL16</f>
        <v>1238400.4920000006</v>
      </c>
      <c r="AM28" s="21">
        <f ca="1">Ass.!$D$6*Ops.!AM16</f>
        <v>1238400.4920000006</v>
      </c>
      <c r="AN28" s="41">
        <f ca="1">Ass.!$D$6*Ops.!AN16</f>
        <v>1238400.4920000006</v>
      </c>
      <c r="AO28" s="21">
        <f ca="1">Ass.!$D$6*Ops.!AO16</f>
        <v>1238400.4920000006</v>
      </c>
      <c r="AP28" s="21">
        <f ca="1">Ass.!$D$6*Ops.!AP16</f>
        <v>1238400.4920000006</v>
      </c>
      <c r="AQ28" s="21">
        <f ca="1">Ass.!$D$6*Ops.!AQ16</f>
        <v>1238400.4920000006</v>
      </c>
    </row>
    <row r="29" spans="3:43" ht="12.75" customHeight="1" x14ac:dyDescent="0.15">
      <c r="C29" s="72"/>
      <c r="D29" t="s">
        <v>245</v>
      </c>
      <c r="J29" s="41">
        <f>Ass.!$D$6*Ops.!J17</f>
        <v>0</v>
      </c>
      <c r="K29" s="21">
        <f>Ass.!$D$6*Ops.!K17</f>
        <v>0</v>
      </c>
      <c r="L29" s="21">
        <f>Ass.!$D$6*Ops.!L17</f>
        <v>0</v>
      </c>
      <c r="M29" s="21">
        <f>Ass.!$D$6*Ops.!M17</f>
        <v>0</v>
      </c>
      <c r="N29" s="21">
        <f>Ass.!$D$6*Ops.!N17</f>
        <v>0</v>
      </c>
      <c r="O29" s="41">
        <f>Ass.!$D$6*Ops.!O17</f>
        <v>0</v>
      </c>
      <c r="P29" s="21">
        <f>Ass.!$D$6*Ops.!P17</f>
        <v>0</v>
      </c>
      <c r="Q29" s="21">
        <f>Ass.!$D$6*Ops.!Q17</f>
        <v>0</v>
      </c>
      <c r="R29" s="21">
        <f>Ass.!$D$6*Ops.!R17</f>
        <v>0</v>
      </c>
      <c r="S29" s="21">
        <f>Ass.!$D$6*Ops.!S17</f>
        <v>0</v>
      </c>
      <c r="T29" s="41">
        <f>Ass.!$D$6*Ops.!T17</f>
        <v>0</v>
      </c>
      <c r="U29" s="21">
        <f>Ass.!$D$6*Ops.!U17</f>
        <v>0</v>
      </c>
      <c r="V29" s="21">
        <f>Ass.!$D$6*Ops.!V17</f>
        <v>0</v>
      </c>
      <c r="W29" s="21">
        <f>Ass.!$D$6*Ops.!W17</f>
        <v>0</v>
      </c>
      <c r="X29" s="21">
        <f>Ass.!$D$6*Ops.!X17</f>
        <v>0</v>
      </c>
      <c r="Y29" s="41">
        <f>Ass.!$D$6*Ops.!Y17</f>
        <v>0</v>
      </c>
      <c r="Z29" s="21">
        <f>Ass.!$D$6*Ops.!Z17</f>
        <v>0</v>
      </c>
      <c r="AA29" s="21">
        <f>Ass.!$D$6*Ops.!AA17</f>
        <v>0</v>
      </c>
      <c r="AB29" s="21">
        <f>Ass.!$D$6*Ops.!AB17</f>
        <v>0</v>
      </c>
      <c r="AC29" s="21">
        <f>Ass.!$D$6*Ops.!AC17</f>
        <v>0</v>
      </c>
      <c r="AD29" s="41">
        <f>Ass.!$D$6*Ops.!AD17</f>
        <v>0</v>
      </c>
      <c r="AE29" s="21">
        <f>Ass.!$D$6*Ops.!AE17</f>
        <v>0</v>
      </c>
      <c r="AF29" s="21">
        <f>Ass.!$D$6*Ops.!AF17</f>
        <v>0</v>
      </c>
      <c r="AG29" s="21">
        <f>Ass.!$D$6*Ops.!AG17</f>
        <v>0</v>
      </c>
      <c r="AH29" s="21">
        <f>Ass.!$D$6*Ops.!AH17</f>
        <v>0</v>
      </c>
      <c r="AI29" s="41">
        <f>Ass.!$D$6*Ops.!AI17</f>
        <v>0</v>
      </c>
      <c r="AJ29" s="21">
        <f>Ass.!$D$6*Ops.!AJ17</f>
        <v>0</v>
      </c>
      <c r="AK29" s="21">
        <f>Ass.!$D$6*Ops.!AK17</f>
        <v>0</v>
      </c>
      <c r="AL29" s="21">
        <f>Ass.!$D$6*Ops.!AL17</f>
        <v>0</v>
      </c>
      <c r="AM29" s="21">
        <f>Ass.!$D$6*Ops.!AM17</f>
        <v>0</v>
      </c>
      <c r="AN29" s="41">
        <f>Ass.!$D$6*Ops.!AN17</f>
        <v>0</v>
      </c>
      <c r="AO29" s="21">
        <f>Ass.!$D$6*Ops.!AO17</f>
        <v>0</v>
      </c>
      <c r="AP29" s="21">
        <f>Ass.!$D$6*Ops.!AP17</f>
        <v>0</v>
      </c>
      <c r="AQ29" s="21">
        <f>Ass.!$D$6*Ops.!AQ17</f>
        <v>0</v>
      </c>
    </row>
    <row r="30" spans="3:43" ht="12.75" customHeight="1" x14ac:dyDescent="0.15">
      <c r="C30" s="72"/>
      <c r="D30" t="s">
        <v>246</v>
      </c>
      <c r="J30" s="41">
        <f t="shared" ref="J30:AQ30" ca="1" si="6">J28*J18</f>
        <v>140750909.68539986</v>
      </c>
      <c r="K30" s="21">
        <f t="shared" ca="1" si="6"/>
        <v>112815734.76738515</v>
      </c>
      <c r="L30" s="21">
        <f t="shared" ca="1" si="6"/>
        <v>99000994.213105634</v>
      </c>
      <c r="M30" s="21">
        <f t="shared" ca="1" si="6"/>
        <v>92160740.40837869</v>
      </c>
      <c r="N30" s="21">
        <f t="shared" ca="1" si="6"/>
        <v>99808127.328461885</v>
      </c>
      <c r="O30" s="41">
        <f t="shared" ca="1" si="6"/>
        <v>101018107.30871376</v>
      </c>
      <c r="P30" s="21">
        <f t="shared" ca="1" si="6"/>
        <v>102090720.31737047</v>
      </c>
      <c r="Q30" s="21">
        <f t="shared" ca="1" si="6"/>
        <v>104132534.72371787</v>
      </c>
      <c r="R30" s="21">
        <f t="shared" ca="1" si="6"/>
        <v>109990604.95390882</v>
      </c>
      <c r="S30" s="21">
        <f t="shared" ca="1" si="6"/>
        <v>112278163.58419183</v>
      </c>
      <c r="T30" s="41">
        <f t="shared" ca="1" si="6"/>
        <v>113967601.09660895</v>
      </c>
      <c r="U30" s="21">
        <f t="shared" ca="1" si="6"/>
        <v>116722909.9019067</v>
      </c>
      <c r="V30" s="21">
        <f t="shared" ca="1" si="6"/>
        <v>114970732.5770147</v>
      </c>
      <c r="W30" s="21">
        <f t="shared" ca="1" si="6"/>
        <v>115694722.94920631</v>
      </c>
      <c r="X30" s="21">
        <f t="shared" ca="1" si="6"/>
        <v>116193990.03418612</v>
      </c>
      <c r="Y30" s="41">
        <f t="shared" ca="1" si="6"/>
        <v>118517869.83487339</v>
      </c>
      <c r="Z30" s="21">
        <f t="shared" ca="1" si="6"/>
        <v>121413721.97926036</v>
      </c>
      <c r="AA30" s="21">
        <f t="shared" ca="1" si="6"/>
        <v>119465941.4762429</v>
      </c>
      <c r="AB30" s="21">
        <f t="shared" ca="1" si="6"/>
        <v>122307976.87037241</v>
      </c>
      <c r="AC30" s="21">
        <f t="shared" ca="1" si="6"/>
        <v>124754136.4077695</v>
      </c>
      <c r="AD30" s="41">
        <f t="shared" ca="1" si="6"/>
        <v>127249219.13594389</v>
      </c>
      <c r="AE30" s="21">
        <f t="shared" ca="1" si="6"/>
        <v>129794203.51865759</v>
      </c>
      <c r="AF30" s="21">
        <f t="shared" ca="1" si="6"/>
        <v>132390087.58904798</v>
      </c>
      <c r="AG30" s="21">
        <f t="shared" ca="1" si="6"/>
        <v>135037889.34082201</v>
      </c>
      <c r="AH30" s="21">
        <f t="shared" ca="1" si="6"/>
        <v>137738647.12763074</v>
      </c>
      <c r="AI30" s="41">
        <f t="shared" ca="1" si="6"/>
        <v>140493420.07019284</v>
      </c>
      <c r="AJ30" s="21">
        <f t="shared" ca="1" si="6"/>
        <v>143303288.47155875</v>
      </c>
      <c r="AK30" s="21">
        <f t="shared" ca="1" si="6"/>
        <v>146169354.24099252</v>
      </c>
      <c r="AL30" s="21">
        <f t="shared" ca="1" si="6"/>
        <v>149092741.32583132</v>
      </c>
      <c r="AM30" s="21">
        <f t="shared" ca="1" si="6"/>
        <v>152074596.15236521</v>
      </c>
      <c r="AN30" s="41">
        <f t="shared" ca="1" si="6"/>
        <v>155116088.07540131</v>
      </c>
      <c r="AO30" s="21">
        <f t="shared" ca="1" si="6"/>
        <v>158218409.83691275</v>
      </c>
      <c r="AP30" s="21">
        <f t="shared" ca="1" si="6"/>
        <v>161382778.03365615</v>
      </c>
      <c r="AQ30" s="21">
        <f t="shared" ca="1" si="6"/>
        <v>164610433.59433365</v>
      </c>
    </row>
    <row r="31" spans="3:43" ht="12.75" customHeight="1" x14ac:dyDescent="0.15">
      <c r="C31" s="72"/>
      <c r="D31" t="s">
        <v>247</v>
      </c>
      <c r="J31" s="41">
        <f>J17*J19</f>
        <v>0</v>
      </c>
      <c r="K31" s="21">
        <f>K17*K19</f>
        <v>0</v>
      </c>
      <c r="L31" s="21">
        <f>L29*L19</f>
        <v>0</v>
      </c>
      <c r="M31" s="21">
        <f t="shared" ref="M31:AQ31" si="7">M17*M19</f>
        <v>0</v>
      </c>
      <c r="N31" s="21">
        <f t="shared" si="7"/>
        <v>0</v>
      </c>
      <c r="O31" s="41">
        <f t="shared" si="7"/>
        <v>0</v>
      </c>
      <c r="P31" s="21">
        <f t="shared" si="7"/>
        <v>0</v>
      </c>
      <c r="Q31" s="21">
        <f t="shared" si="7"/>
        <v>0</v>
      </c>
      <c r="R31" s="21">
        <f t="shared" si="7"/>
        <v>0</v>
      </c>
      <c r="S31" s="21">
        <f t="shared" si="7"/>
        <v>0</v>
      </c>
      <c r="T31" s="41">
        <f t="shared" si="7"/>
        <v>0</v>
      </c>
      <c r="U31" s="21">
        <f t="shared" si="7"/>
        <v>0</v>
      </c>
      <c r="V31" s="21">
        <f t="shared" si="7"/>
        <v>0</v>
      </c>
      <c r="W31" s="21">
        <f t="shared" si="7"/>
        <v>0</v>
      </c>
      <c r="X31" s="21">
        <f t="shared" si="7"/>
        <v>0</v>
      </c>
      <c r="Y31" s="41">
        <f t="shared" si="7"/>
        <v>0</v>
      </c>
      <c r="Z31" s="21">
        <f t="shared" si="7"/>
        <v>0</v>
      </c>
      <c r="AA31" s="21">
        <f t="shared" si="7"/>
        <v>0</v>
      </c>
      <c r="AB31" s="21">
        <f t="shared" si="7"/>
        <v>0</v>
      </c>
      <c r="AC31" s="21">
        <f t="shared" si="7"/>
        <v>0</v>
      </c>
      <c r="AD31" s="41">
        <f t="shared" si="7"/>
        <v>0</v>
      </c>
      <c r="AE31" s="21">
        <f t="shared" si="7"/>
        <v>0</v>
      </c>
      <c r="AF31" s="21">
        <f t="shared" si="7"/>
        <v>0</v>
      </c>
      <c r="AG31" s="21">
        <f t="shared" si="7"/>
        <v>0</v>
      </c>
      <c r="AH31" s="21">
        <f t="shared" si="7"/>
        <v>0</v>
      </c>
      <c r="AI31" s="41">
        <f t="shared" si="7"/>
        <v>0</v>
      </c>
      <c r="AJ31" s="21">
        <f t="shared" si="7"/>
        <v>0</v>
      </c>
      <c r="AK31" s="21">
        <f t="shared" si="7"/>
        <v>0</v>
      </c>
      <c r="AL31" s="21">
        <f t="shared" si="7"/>
        <v>0</v>
      </c>
      <c r="AM31" s="21">
        <f t="shared" si="7"/>
        <v>0</v>
      </c>
      <c r="AN31" s="41">
        <f t="shared" si="7"/>
        <v>0</v>
      </c>
      <c r="AO31" s="21">
        <f t="shared" si="7"/>
        <v>0</v>
      </c>
      <c r="AP31" s="21">
        <f t="shared" si="7"/>
        <v>0</v>
      </c>
      <c r="AQ31" s="21">
        <f t="shared" si="7"/>
        <v>0</v>
      </c>
    </row>
    <row r="32" spans="3:43" ht="12.75" customHeight="1" x14ac:dyDescent="0.15">
      <c r="J32" s="34"/>
      <c r="O32" s="34"/>
      <c r="T32" s="34"/>
      <c r="Y32" s="34"/>
      <c r="AD32" s="34"/>
      <c r="AI32" s="34"/>
      <c r="AN32" s="34"/>
    </row>
    <row r="33" spans="2:43" ht="12.75" customHeight="1" x14ac:dyDescent="0.15">
      <c r="C33" t="s">
        <v>248</v>
      </c>
      <c r="J33" s="76">
        <f t="shared" ref="J33:AQ33" ca="1" si="8">SUM(J28:J29)</f>
        <v>1482592.8120000002</v>
      </c>
      <c r="K33" s="77">
        <f t="shared" ca="1" si="8"/>
        <v>1453353.3260655734</v>
      </c>
      <c r="L33" s="77">
        <f t="shared" ca="1" si="8"/>
        <v>1387438.155</v>
      </c>
      <c r="M33" s="77">
        <f t="shared" ca="1" si="8"/>
        <v>1306998.1589999998</v>
      </c>
      <c r="N33" s="77">
        <f t="shared" ca="1" si="8"/>
        <v>1340839.5120000001</v>
      </c>
      <c r="O33" s="76">
        <f t="shared" ca="1" si="8"/>
        <v>1323146.0772540984</v>
      </c>
      <c r="P33" s="77">
        <f t="shared" ca="1" si="8"/>
        <v>1310975.7629999998</v>
      </c>
      <c r="Q33" s="77">
        <f t="shared" ca="1" si="8"/>
        <v>1310975.7629999998</v>
      </c>
      <c r="R33" s="77">
        <f t="shared" ca="1" si="8"/>
        <v>1357574.4059999997</v>
      </c>
      <c r="S33" s="77">
        <f t="shared" ca="1" si="8"/>
        <v>1358636.1940573766</v>
      </c>
      <c r="T33" s="76">
        <f t="shared" ca="1" si="8"/>
        <v>1352038.6740000001</v>
      </c>
      <c r="U33" s="77">
        <f t="shared" ca="1" si="8"/>
        <v>1357574.4059999997</v>
      </c>
      <c r="V33" s="77">
        <f t="shared" ca="1" si="8"/>
        <v>1310975.7629999998</v>
      </c>
      <c r="W33" s="77">
        <f t="shared" ca="1" si="8"/>
        <v>1293363.9231967214</v>
      </c>
      <c r="X33" s="77">
        <f t="shared" ca="1" si="8"/>
        <v>1273475.7689999999</v>
      </c>
      <c r="Y33" s="76">
        <f t="shared" ca="1" si="8"/>
        <v>1273475.7689999999</v>
      </c>
      <c r="Z33" s="77">
        <f t="shared" ca="1" si="8"/>
        <v>1279011.5009999999</v>
      </c>
      <c r="AA33" s="77">
        <f t="shared" ca="1" si="8"/>
        <v>1233816.6175000002</v>
      </c>
      <c r="AB33" s="77">
        <f t="shared" ca="1" si="8"/>
        <v>1238400.4920000006</v>
      </c>
      <c r="AC33" s="77">
        <f t="shared" ca="1" si="8"/>
        <v>1238400.4920000006</v>
      </c>
      <c r="AD33" s="76">
        <f t="shared" ca="1" si="8"/>
        <v>1238400.4920000006</v>
      </c>
      <c r="AE33" s="77">
        <f t="shared" ca="1" si="8"/>
        <v>1238400.4920000006</v>
      </c>
      <c r="AF33" s="77">
        <f t="shared" ca="1" si="8"/>
        <v>1238400.4920000006</v>
      </c>
      <c r="AG33" s="77">
        <f t="shared" ca="1" si="8"/>
        <v>1238400.4920000006</v>
      </c>
      <c r="AH33" s="77">
        <f t="shared" ca="1" si="8"/>
        <v>1238400.4920000006</v>
      </c>
      <c r="AI33" s="76">
        <f t="shared" ca="1" si="8"/>
        <v>1238400.4920000006</v>
      </c>
      <c r="AJ33" s="77">
        <f t="shared" ca="1" si="8"/>
        <v>1238400.4920000006</v>
      </c>
      <c r="AK33" s="77">
        <f t="shared" ca="1" si="8"/>
        <v>1238400.4920000006</v>
      </c>
      <c r="AL33" s="77">
        <f t="shared" ca="1" si="8"/>
        <v>1238400.4920000006</v>
      </c>
      <c r="AM33" s="77">
        <f t="shared" ca="1" si="8"/>
        <v>1238400.4920000006</v>
      </c>
      <c r="AN33" s="76">
        <f t="shared" ca="1" si="8"/>
        <v>1238400.4920000006</v>
      </c>
      <c r="AO33" s="77">
        <f t="shared" ca="1" si="8"/>
        <v>1238400.4920000006</v>
      </c>
      <c r="AP33" s="77">
        <f t="shared" ca="1" si="8"/>
        <v>1238400.4920000006</v>
      </c>
      <c r="AQ33" s="77">
        <f t="shared" ca="1" si="8"/>
        <v>1238400.4920000006</v>
      </c>
    </row>
    <row r="34" spans="2:43" ht="12.75" customHeight="1" x14ac:dyDescent="0.15">
      <c r="J34" s="35"/>
      <c r="K34" s="36"/>
      <c r="L34" s="36"/>
      <c r="M34" s="36"/>
      <c r="N34" s="36"/>
      <c r="O34" s="35"/>
      <c r="P34" s="36"/>
      <c r="Q34" s="36"/>
      <c r="R34" s="36"/>
      <c r="S34" s="36"/>
      <c r="T34" s="35"/>
      <c r="U34" s="36"/>
      <c r="V34" s="36"/>
      <c r="W34" s="36"/>
      <c r="X34" s="36"/>
      <c r="Y34" s="35"/>
      <c r="Z34" s="36"/>
      <c r="AA34" s="36"/>
      <c r="AB34" s="36"/>
      <c r="AC34" s="36"/>
      <c r="AD34" s="35"/>
      <c r="AE34" s="36"/>
      <c r="AF34" s="36"/>
      <c r="AG34" s="36"/>
      <c r="AH34" s="36"/>
      <c r="AI34" s="35"/>
      <c r="AJ34" s="36"/>
      <c r="AK34" s="36"/>
      <c r="AL34" s="36"/>
      <c r="AM34" s="36"/>
      <c r="AN34" s="35"/>
      <c r="AO34" s="36"/>
      <c r="AP34" s="36"/>
      <c r="AQ34" s="36"/>
    </row>
    <row r="35" spans="2:43" ht="12.75" customHeight="1" x14ac:dyDescent="0.15">
      <c r="C35" t="s">
        <v>249</v>
      </c>
      <c r="J35" s="76">
        <f t="shared" ref="J35:AQ35" ca="1" si="9">J33/J13</f>
        <v>2280912.0184615385</v>
      </c>
      <c r="K35" s="77">
        <f t="shared" ca="1" si="9"/>
        <v>2235928.1939470358</v>
      </c>
      <c r="L35" s="77">
        <f t="shared" ca="1" si="9"/>
        <v>2139869.9132446502</v>
      </c>
      <c r="M35" s="77">
        <f t="shared" ca="1" si="9"/>
        <v>2020858.058390626</v>
      </c>
      <c r="N35" s="77">
        <f t="shared" ca="1" si="9"/>
        <v>2078378.9232558163</v>
      </c>
      <c r="O35" s="76">
        <f t="shared" ca="1" si="9"/>
        <v>2056093.3076244129</v>
      </c>
      <c r="P35" s="77">
        <f t="shared" ca="1" si="9"/>
        <v>2042287.0531631522</v>
      </c>
      <c r="Q35" s="77">
        <f t="shared" ca="1" si="9"/>
        <v>2047405.5670808542</v>
      </c>
      <c r="R35" s="77">
        <f t="shared" ca="1" si="9"/>
        <v>2125494.3486774876</v>
      </c>
      <c r="S35" s="77">
        <f t="shared" ca="1" si="9"/>
        <v>2132487.963299037</v>
      </c>
      <c r="T35" s="76">
        <f t="shared" ca="1" si="9"/>
        <v>2127451.2570471219</v>
      </c>
      <c r="U35" s="77">
        <f t="shared" ca="1" si="9"/>
        <v>2141515.5956889167</v>
      </c>
      <c r="V35" s="77">
        <f t="shared" ca="1" si="9"/>
        <v>2073191.2062398705</v>
      </c>
      <c r="W35" s="77">
        <f t="shared" ca="1" si="9"/>
        <v>2050465.8174318399</v>
      </c>
      <c r="X35" s="77">
        <f t="shared" ca="1" si="9"/>
        <v>2023995.6396376144</v>
      </c>
      <c r="Y35" s="76">
        <f t="shared" ca="1" si="9"/>
        <v>2029068.3104136486</v>
      </c>
      <c r="Z35" s="77">
        <f t="shared" ca="1" si="9"/>
        <v>2042996.0534720961</v>
      </c>
      <c r="AA35" s="77">
        <f t="shared" ca="1" si="9"/>
        <v>1975744.5325828386</v>
      </c>
      <c r="AB35" s="77">
        <f t="shared" ca="1" si="9"/>
        <v>1988054.9544593776</v>
      </c>
      <c r="AC35" s="77">
        <f t="shared" ca="1" si="9"/>
        <v>1993037.5483302032</v>
      </c>
      <c r="AD35" s="76">
        <f t="shared" ca="1" si="9"/>
        <v>1998032.6299049652</v>
      </c>
      <c r="AE35" s="77">
        <f t="shared" ca="1" si="9"/>
        <v>2003040.230481168</v>
      </c>
      <c r="AF35" s="77">
        <f t="shared" ca="1" si="9"/>
        <v>2008060.3814347547</v>
      </c>
      <c r="AG35" s="77">
        <f t="shared" ca="1" si="9"/>
        <v>2013093.1142203051</v>
      </c>
      <c r="AH35" s="77">
        <f t="shared" ca="1" si="9"/>
        <v>2018138.4603712333</v>
      </c>
      <c r="AI35" s="76">
        <f t="shared" ca="1" si="9"/>
        <v>2023196.4514999832</v>
      </c>
      <c r="AJ35" s="77">
        <f t="shared" ca="1" si="9"/>
        <v>2028267.1192982285</v>
      </c>
      <c r="AK35" s="77">
        <f t="shared" ca="1" si="9"/>
        <v>2033350.4955370713</v>
      </c>
      <c r="AL35" s="77">
        <f t="shared" ca="1" si="9"/>
        <v>2038446.6120672391</v>
      </c>
      <c r="AM35" s="77">
        <f t="shared" ca="1" si="9"/>
        <v>2043555.5008192875</v>
      </c>
      <c r="AN35" s="76">
        <f t="shared" ca="1" si="9"/>
        <v>2048677.193803797</v>
      </c>
      <c r="AO35" s="77">
        <f t="shared" ca="1" si="9"/>
        <v>2053811.7231115757</v>
      </c>
      <c r="AP35" s="77">
        <f t="shared" ca="1" si="9"/>
        <v>2058959.1209138602</v>
      </c>
      <c r="AQ35" s="77">
        <f t="shared" ca="1" si="9"/>
        <v>2064119.4194625164</v>
      </c>
    </row>
    <row r="36" spans="2:43" ht="12.75" customHeight="1" x14ac:dyDescent="0.15">
      <c r="C36" t="s">
        <v>250</v>
      </c>
      <c r="J36" s="41">
        <f ca="1">J35*Ass.!$D$41</f>
        <v>460652.99124849233</v>
      </c>
      <c r="K36" s="21">
        <f ca="1">K35*Ass.!$D$41</f>
        <v>451568.05804954335</v>
      </c>
      <c r="L36" s="21">
        <f ca="1">L35*Ass.!$D$41</f>
        <v>432168.12767888955</v>
      </c>
      <c r="M36" s="21">
        <f ca="1">M35*Ass.!$D$41</f>
        <v>408132.49347257084</v>
      </c>
      <c r="N36" s="21">
        <f ca="1">N35*Ass.!$D$41</f>
        <v>419749.40734074468</v>
      </c>
      <c r="O36" s="41">
        <f ca="1">O35*Ass.!$D$41</f>
        <v>415248.60440782644</v>
      </c>
      <c r="P36" s="21">
        <f ca="1">P35*Ass.!$D$41</f>
        <v>412460.29325683019</v>
      </c>
      <c r="Q36" s="21">
        <f ca="1">Q35*Ass.!$D$41</f>
        <v>413494.02832764934</v>
      </c>
      <c r="R36" s="21">
        <f ca="1">R35*Ass.!$D$41</f>
        <v>429264.83865890541</v>
      </c>
      <c r="S36" s="21">
        <f ca="1">S35*Ass.!$D$41</f>
        <v>430677.26906787348</v>
      </c>
      <c r="T36" s="41">
        <f ca="1">T35*Ass.!$D$41</f>
        <v>429660.05587323674</v>
      </c>
      <c r="U36" s="21">
        <f ca="1">U35*Ass.!$D$41</f>
        <v>432500.4897053336</v>
      </c>
      <c r="V36" s="21">
        <f ca="1">V35*Ass.!$D$41</f>
        <v>418701.69601220422</v>
      </c>
      <c r="W36" s="21">
        <f ca="1">W35*Ass.!$D$41</f>
        <v>414112.0764885344</v>
      </c>
      <c r="X36" s="21">
        <f ca="1">X35*Ass.!$D$41</f>
        <v>408766.15938121261</v>
      </c>
      <c r="Y36" s="41">
        <f ca="1">Y35*Ass.!$D$41</f>
        <v>409790.63597114047</v>
      </c>
      <c r="Z36" s="21">
        <f ca="1">Z35*Ass.!$D$41</f>
        <v>412603.48295922455</v>
      </c>
      <c r="AA36" s="21">
        <f ca="1">AA35*Ass.!$D$41</f>
        <v>399021.36580043007</v>
      </c>
      <c r="AB36" s="21">
        <f ca="1">AB35*Ass.!$D$41</f>
        <v>401507.57860261592</v>
      </c>
      <c r="AC36" s="21">
        <f ca="1">AC35*Ass.!$D$41</f>
        <v>402513.86326076783</v>
      </c>
      <c r="AD36" s="41">
        <f ca="1">AD35*Ass.!$D$41</f>
        <v>403522.66993560677</v>
      </c>
      <c r="AE36" s="21">
        <f ca="1">AE35*Ass.!$D$41</f>
        <v>404534.00494797667</v>
      </c>
      <c r="AF36" s="21">
        <f ca="1">AF35*Ass.!$D$41</f>
        <v>405547.87463456305</v>
      </c>
      <c r="AG36" s="21">
        <f ca="1">AG35*Ass.!$D$41</f>
        <v>406564.28534793283</v>
      </c>
      <c r="AH36" s="21">
        <f ca="1">AH35*Ass.!$D$41</f>
        <v>407583.24345657427</v>
      </c>
      <c r="AI36" s="41">
        <f ca="1">AI35*Ass.!$D$41</f>
        <v>408604.75534493662</v>
      </c>
      <c r="AJ36" s="21">
        <f ca="1">AJ35*Ass.!$D$41</f>
        <v>409628.82741347025</v>
      </c>
      <c r="AK36" s="21">
        <f ca="1">AK35*Ass.!$D$41</f>
        <v>410655.46607866691</v>
      </c>
      <c r="AL36" s="21">
        <f ca="1">AL35*Ass.!$D$41</f>
        <v>411684.67777309963</v>
      </c>
      <c r="AM36" s="21">
        <f ca="1">AM35*Ass.!$D$41</f>
        <v>412716.4689454633</v>
      </c>
      <c r="AN36" s="41">
        <f ca="1">AN35*Ass.!$D$41</f>
        <v>413750.84606061486</v>
      </c>
      <c r="AO36" s="21">
        <f ca="1">AO35*Ass.!$D$41</f>
        <v>414787.81559961382</v>
      </c>
      <c r="AP36" s="21">
        <f ca="1">AP35*Ass.!$D$41</f>
        <v>415827.38405976322</v>
      </c>
      <c r="AQ36" s="21">
        <f ca="1">AQ35*Ass.!$D$41</f>
        <v>416869.55795464985</v>
      </c>
    </row>
    <row r="37" spans="2:43" ht="12.75" customHeight="1" x14ac:dyDescent="0.15">
      <c r="J37" s="34"/>
      <c r="M37" s="70"/>
      <c r="O37" s="34"/>
      <c r="T37" s="34"/>
      <c r="Y37" s="34"/>
      <c r="AD37" s="34"/>
      <c r="AI37" s="34"/>
      <c r="AN37" s="34"/>
    </row>
    <row r="38" spans="2:43" ht="12.75" customHeight="1" x14ac:dyDescent="0.15">
      <c r="B38" t="s">
        <v>251</v>
      </c>
      <c r="J38" s="41">
        <f ca="1">'Rev.'!J28</f>
        <v>140750909.68539986</v>
      </c>
      <c r="K38" s="21">
        <f ca="1">'Rev.'!K28</f>
        <v>112815734.76738515</v>
      </c>
      <c r="L38" s="21">
        <f ca="1">'Rev.'!L28</f>
        <v>99000994.213105634</v>
      </c>
      <c r="M38" s="21">
        <f ca="1">'Rev.'!M28</f>
        <v>92160740.40837869</v>
      </c>
      <c r="N38" s="21">
        <f ca="1">'Rev.'!N28</f>
        <v>99808127.328461885</v>
      </c>
      <c r="O38" s="41">
        <f ca="1">'Rev.'!O28</f>
        <v>101018107.30871376</v>
      </c>
      <c r="P38" s="21">
        <f ca="1">'Rev.'!P28</f>
        <v>102090720.31737047</v>
      </c>
      <c r="Q38" s="21">
        <f ca="1">'Rev.'!Q28</f>
        <v>104132534.72371787</v>
      </c>
      <c r="R38" s="21">
        <f ca="1">'Rev.'!R28</f>
        <v>109990604.95390882</v>
      </c>
      <c r="S38" s="21">
        <f ca="1">'Rev.'!S28</f>
        <v>112278163.58419183</v>
      </c>
      <c r="T38" s="41">
        <f ca="1">'Rev.'!T28</f>
        <v>113967601.09660895</v>
      </c>
      <c r="U38" s="21">
        <f ca="1">'Rev.'!U28</f>
        <v>116722909.9019067</v>
      </c>
      <c r="V38" s="21">
        <f ca="1">'Rev.'!V28</f>
        <v>114970732.5770147</v>
      </c>
      <c r="W38" s="21">
        <f ca="1">'Rev.'!W28</f>
        <v>115694722.94920631</v>
      </c>
      <c r="X38" s="21">
        <f ca="1">'Rev.'!X28</f>
        <v>116193990.03418612</v>
      </c>
      <c r="Y38" s="41">
        <f ca="1">'Rev.'!Y28</f>
        <v>118517869.83487339</v>
      </c>
      <c r="Z38" s="21">
        <f ca="1">'Rev.'!Z28</f>
        <v>121413721.97926036</v>
      </c>
      <c r="AA38" s="21">
        <f ca="1">'Rev.'!AA28</f>
        <v>119465941.4762429</v>
      </c>
      <c r="AB38" s="21">
        <f ca="1">'Rev.'!AB28</f>
        <v>122307976.87037241</v>
      </c>
      <c r="AC38" s="21">
        <f ca="1">'Rev.'!AC28</f>
        <v>124754136.4077695</v>
      </c>
      <c r="AD38" s="41">
        <f ca="1">'Rev.'!AD28</f>
        <v>127249219.13594389</v>
      </c>
      <c r="AE38" s="21">
        <f ca="1">'Rev.'!AE28</f>
        <v>129794203.51865759</v>
      </c>
      <c r="AF38" s="21">
        <f ca="1">'Rev.'!AF28</f>
        <v>132390087.58904798</v>
      </c>
      <c r="AG38" s="21">
        <f ca="1">'Rev.'!AG28</f>
        <v>135037889.34082201</v>
      </c>
      <c r="AH38" s="21">
        <f ca="1">'Rev.'!AH28</f>
        <v>137738647.12763074</v>
      </c>
      <c r="AI38" s="41">
        <f ca="1">'Rev.'!AI28</f>
        <v>140493420.07019284</v>
      </c>
      <c r="AJ38" s="21">
        <f ca="1">'Rev.'!AJ28</f>
        <v>143303288.47155875</v>
      </c>
      <c r="AK38" s="21">
        <f ca="1">'Rev.'!AK28</f>
        <v>146169354.24099252</v>
      </c>
      <c r="AL38" s="21">
        <f ca="1">'Rev.'!AL28</f>
        <v>149092741.32583132</v>
      </c>
      <c r="AM38" s="21">
        <f ca="1">'Rev.'!AM28</f>
        <v>152074596.15236521</v>
      </c>
      <c r="AN38" s="41">
        <f ca="1">'Rev.'!AN28</f>
        <v>155116088.07540131</v>
      </c>
      <c r="AO38" s="21">
        <f ca="1">'Rev.'!AO28</f>
        <v>158218409.83691275</v>
      </c>
      <c r="AP38" s="21">
        <f ca="1">'Rev.'!AP28</f>
        <v>161382778.03365615</v>
      </c>
      <c r="AQ38" s="21">
        <f ca="1">'Rev.'!AQ28</f>
        <v>164610433.59433365</v>
      </c>
    </row>
    <row r="39" spans="2:43" ht="12.75" customHeight="1" x14ac:dyDescent="0.15">
      <c r="J39" s="34"/>
      <c r="O39" s="34"/>
      <c r="T39" s="34"/>
      <c r="Y39" s="34"/>
      <c r="AD39" s="34"/>
      <c r="AI39" s="34"/>
      <c r="AN39" s="34"/>
    </row>
    <row r="40" spans="2:43" ht="12.75" customHeight="1" x14ac:dyDescent="0.15">
      <c r="B40" t="s">
        <v>252</v>
      </c>
      <c r="J40" s="34"/>
      <c r="O40" s="34"/>
      <c r="T40" s="34"/>
      <c r="Y40" s="34"/>
      <c r="AD40" s="34"/>
      <c r="AI40" s="34"/>
      <c r="AN40" s="34"/>
    </row>
    <row r="41" spans="2:43" ht="12.75" customHeight="1" x14ac:dyDescent="0.15">
      <c r="C41" t="s">
        <v>118</v>
      </c>
      <c r="J41" s="76">
        <f ca="1">J9*Ass.!$D$6*Ass.!$D$32</f>
        <v>6000000</v>
      </c>
      <c r="K41" s="77">
        <f ca="1">K9*Ass.!$D$6*Ass.!$D$32</f>
        <v>6000000</v>
      </c>
      <c r="L41" s="77">
        <f ca="1">L9*Ass.!$D$6*Ass.!$D$32</f>
        <v>6000000</v>
      </c>
      <c r="M41" s="77">
        <f ca="1">M9*Ass.!$D$6*Ass.!$D$32</f>
        <v>6000000</v>
      </c>
      <c r="N41" s="77">
        <f ca="1">N9*Ass.!$D$6*Ass.!$D$32</f>
        <v>6000000</v>
      </c>
      <c r="O41" s="76">
        <f ca="1">O9*Ass.!$D$6*Ass.!$D$32</f>
        <v>6000000</v>
      </c>
      <c r="P41" s="77">
        <f ca="1">P9*Ass.!$D$6*Ass.!$D$32</f>
        <v>6000000</v>
      </c>
      <c r="Q41" s="77">
        <f ca="1">Q9*Ass.!$D$6*Ass.!$D$32</f>
        <v>6000000</v>
      </c>
      <c r="R41" s="77">
        <f ca="1">R9*Ass.!$D$6*Ass.!$D$32</f>
        <v>6000000</v>
      </c>
      <c r="S41" s="77">
        <f ca="1">S9*Ass.!$D$6*Ass.!$D$32</f>
        <v>6000000</v>
      </c>
      <c r="T41" s="76">
        <f ca="1">T9*Ass.!$D$6*Ass.!$D$32</f>
        <v>6000000</v>
      </c>
      <c r="U41" s="77">
        <f ca="1">U9*Ass.!$D$6*Ass.!$D$32</f>
        <v>6000000</v>
      </c>
      <c r="V41" s="77">
        <f ca="1">V9*Ass.!$D$6*Ass.!$D$32</f>
        <v>6000000</v>
      </c>
      <c r="W41" s="77">
        <f ca="1">W9*Ass.!$D$6*Ass.!$D$32</f>
        <v>6000000</v>
      </c>
      <c r="X41" s="77">
        <f ca="1">X9*Ass.!$D$6*Ass.!$D$32</f>
        <v>6000000</v>
      </c>
      <c r="Y41" s="76">
        <f ca="1">Y9*Ass.!$D$6*Ass.!$D$32</f>
        <v>6000000</v>
      </c>
      <c r="Z41" s="77">
        <f ca="1">Z9*Ass.!$D$6*Ass.!$D$32</f>
        <v>6000000</v>
      </c>
      <c r="AA41" s="77">
        <f ca="1">AA9*Ass.!$D$6*Ass.!$D$32</f>
        <v>6000000</v>
      </c>
      <c r="AB41" s="77">
        <f ca="1">AB9*Ass.!$D$6*Ass.!$D$32</f>
        <v>6000000</v>
      </c>
      <c r="AC41" s="77">
        <f ca="1">AC9*Ass.!$D$6*Ass.!$D$32</f>
        <v>6000000</v>
      </c>
      <c r="AD41" s="76">
        <f ca="1">AD9*Ass.!$D$6*Ass.!$D$32</f>
        <v>6000000</v>
      </c>
      <c r="AE41" s="77">
        <f ca="1">AE9*Ass.!$D$6*Ass.!$D$32</f>
        <v>6000000</v>
      </c>
      <c r="AF41" s="77">
        <f ca="1">AF9*Ass.!$D$6*Ass.!$D$32</f>
        <v>6000000</v>
      </c>
      <c r="AG41" s="77">
        <f ca="1">AG9*Ass.!$D$6*Ass.!$D$32</f>
        <v>6000000</v>
      </c>
      <c r="AH41" s="77">
        <f ca="1">AH9*Ass.!$D$6*Ass.!$D$32</f>
        <v>6000000</v>
      </c>
      <c r="AI41" s="76">
        <f ca="1">AI9*Ass.!$D$6*Ass.!$D$32</f>
        <v>6000000</v>
      </c>
      <c r="AJ41" s="77">
        <f ca="1">AJ9*Ass.!$D$6*Ass.!$D$32</f>
        <v>6000000</v>
      </c>
      <c r="AK41" s="77">
        <f ca="1">AK9*Ass.!$D$6*Ass.!$D$32</f>
        <v>6000000</v>
      </c>
      <c r="AL41" s="77">
        <f ca="1">AL9*Ass.!$D$6*Ass.!$D$32</f>
        <v>6000000</v>
      </c>
      <c r="AM41" s="77">
        <f ca="1">AM9*Ass.!$D$6*Ass.!$D$32</f>
        <v>6000000</v>
      </c>
      <c r="AN41" s="76">
        <f ca="1">AN9*Ass.!$D$6*Ass.!$D$32</f>
        <v>6000000</v>
      </c>
      <c r="AO41" s="77">
        <f ca="1">AO9*Ass.!$D$6*Ass.!$D$32</f>
        <v>6000000</v>
      </c>
      <c r="AP41" s="77">
        <f ca="1">AP9*Ass.!$D$6*Ass.!$D$32</f>
        <v>6000000</v>
      </c>
      <c r="AQ41" s="77">
        <f ca="1">AQ9*Ass.!$D$6*Ass.!$D$32</f>
        <v>6000000</v>
      </c>
    </row>
    <row r="42" spans="2:43" ht="12.75" customHeight="1" x14ac:dyDescent="0.15">
      <c r="C42" t="s">
        <v>253</v>
      </c>
      <c r="J42" s="76">
        <f ca="1">J33*Ass.!$D$33</f>
        <v>2223889.2180000003</v>
      </c>
      <c r="K42" s="77">
        <f ca="1">K33*Ass.!$D$33</f>
        <v>2180029.9890983598</v>
      </c>
      <c r="L42" s="77">
        <f ca="1">L33*Ass.!$D$33</f>
        <v>2081157.2324999999</v>
      </c>
      <c r="M42" s="77">
        <f ca="1">M33*Ass.!$D$33</f>
        <v>1960497.2384999995</v>
      </c>
      <c r="N42" s="77">
        <f ca="1">N33*Ass.!$D$33</f>
        <v>2011259.2680000002</v>
      </c>
      <c r="O42" s="76">
        <f ca="1">O33*Ass.!$D$33</f>
        <v>1984719.1158811476</v>
      </c>
      <c r="P42" s="77">
        <f ca="1">P33*Ass.!$D$33</f>
        <v>1966463.6444999997</v>
      </c>
      <c r="Q42" s="77">
        <f ca="1">Q33*Ass.!$D$33</f>
        <v>1966463.6444999997</v>
      </c>
      <c r="R42" s="77">
        <f ca="1">R33*Ass.!$D$33</f>
        <v>2036361.6089999997</v>
      </c>
      <c r="S42" s="77">
        <f ca="1">S33*Ass.!$D$33</f>
        <v>2037954.2910860649</v>
      </c>
      <c r="T42" s="76">
        <f ca="1">T33*Ass.!$D$33</f>
        <v>2028058.0110000002</v>
      </c>
      <c r="U42" s="77">
        <f ca="1">U33*Ass.!$D$33</f>
        <v>2036361.6089999997</v>
      </c>
      <c r="V42" s="77">
        <f ca="1">V33*Ass.!$D$33</f>
        <v>1966463.6444999997</v>
      </c>
      <c r="W42" s="77">
        <f ca="1">W33*Ass.!$D$33</f>
        <v>1940045.884795082</v>
      </c>
      <c r="X42" s="77">
        <f ca="1">X33*Ass.!$D$33</f>
        <v>1910213.6534999998</v>
      </c>
      <c r="Y42" s="76">
        <f ca="1">Y33*Ass.!$D$33</f>
        <v>1910213.6534999998</v>
      </c>
      <c r="Z42" s="77">
        <f ca="1">Z33*Ass.!$D$33</f>
        <v>1918517.2514999998</v>
      </c>
      <c r="AA42" s="77">
        <f ca="1">AA33*Ass.!$D$33</f>
        <v>1850724.9262500003</v>
      </c>
      <c r="AB42" s="77">
        <f ca="1">AB33*Ass.!$D$33</f>
        <v>1857600.7380000008</v>
      </c>
      <c r="AC42" s="77">
        <f ca="1">AC33*Ass.!$D$33</f>
        <v>1857600.7380000008</v>
      </c>
      <c r="AD42" s="76">
        <f ca="1">AD33*Ass.!$D$33</f>
        <v>1857600.7380000008</v>
      </c>
      <c r="AE42" s="77">
        <f ca="1">AE33*Ass.!$D$33</f>
        <v>1857600.7380000008</v>
      </c>
      <c r="AF42" s="77">
        <f ca="1">AF33*Ass.!$D$33</f>
        <v>1857600.7380000008</v>
      </c>
      <c r="AG42" s="77">
        <f ca="1">AG33*Ass.!$D$33</f>
        <v>1857600.7380000008</v>
      </c>
      <c r="AH42" s="77">
        <f ca="1">AH33*Ass.!$D$33</f>
        <v>1857600.7380000008</v>
      </c>
      <c r="AI42" s="76">
        <f ca="1">AI33*Ass.!$D$33</f>
        <v>1857600.7380000008</v>
      </c>
      <c r="AJ42" s="77">
        <f ca="1">AJ33*Ass.!$D$33</f>
        <v>1857600.7380000008</v>
      </c>
      <c r="AK42" s="77">
        <f ca="1">AK33*Ass.!$D$33</f>
        <v>1857600.7380000008</v>
      </c>
      <c r="AL42" s="77">
        <f ca="1">AL33*Ass.!$D$33</f>
        <v>1857600.7380000008</v>
      </c>
      <c r="AM42" s="77">
        <f ca="1">AM33*Ass.!$D$33</f>
        <v>1857600.7380000008</v>
      </c>
      <c r="AN42" s="76">
        <f ca="1">AN33*Ass.!$D$33</f>
        <v>1857600.7380000008</v>
      </c>
      <c r="AO42" s="77">
        <f ca="1">AO33*Ass.!$D$33</f>
        <v>1857600.7380000008</v>
      </c>
      <c r="AP42" s="77">
        <f ca="1">AP33*Ass.!$D$33</f>
        <v>1857600.7380000008</v>
      </c>
      <c r="AQ42" s="77">
        <f ca="1">AQ33*Ass.!$D$33</f>
        <v>1857600.7380000008</v>
      </c>
    </row>
    <row r="43" spans="2:43" ht="12.75" customHeight="1" x14ac:dyDescent="0.15">
      <c r="J43" s="76"/>
      <c r="K43" s="77"/>
      <c r="L43" s="77"/>
      <c r="M43" s="77"/>
      <c r="N43" s="77"/>
      <c r="O43" s="76"/>
      <c r="P43" s="77"/>
      <c r="Q43" s="77"/>
      <c r="R43" s="77"/>
      <c r="S43" s="77"/>
      <c r="T43" s="76"/>
      <c r="U43" s="77"/>
      <c r="V43" s="77"/>
      <c r="W43" s="77"/>
      <c r="X43" s="77"/>
      <c r="Y43" s="76"/>
      <c r="Z43" s="77"/>
      <c r="AA43" s="77"/>
      <c r="AB43" s="77"/>
      <c r="AC43" s="77"/>
      <c r="AD43" s="76"/>
      <c r="AE43" s="77"/>
      <c r="AF43" s="77"/>
      <c r="AG43" s="77"/>
      <c r="AH43" s="77"/>
      <c r="AI43" s="76"/>
      <c r="AJ43" s="77"/>
      <c r="AK43" s="77"/>
      <c r="AL43" s="77"/>
      <c r="AM43" s="77"/>
      <c r="AN43" s="76"/>
      <c r="AO43" s="77"/>
      <c r="AP43" s="77"/>
      <c r="AQ43" s="77"/>
    </row>
    <row r="44" spans="2:43" ht="12.75" customHeight="1" x14ac:dyDescent="0.15">
      <c r="C44" t="s">
        <v>254</v>
      </c>
      <c r="J44" s="76">
        <f ca="1">J35*'Gas prc.'!J7</f>
        <v>87870234.751215398</v>
      </c>
      <c r="K44" s="77">
        <f ca="1">K35*'Gas prc.'!K7</f>
        <v>62382396.611122295</v>
      </c>
      <c r="L44" s="77">
        <f ca="1">L35*'Gas prc.'!L7</f>
        <v>50516978.976923086</v>
      </c>
      <c r="M44" s="77">
        <f ca="1">M35*'Gas prc.'!M7</f>
        <v>45332898.394847721</v>
      </c>
      <c r="N44" s="77">
        <f ca="1">N35*'Gas prc.'!N7</f>
        <v>50051936.905631222</v>
      </c>
      <c r="O44" s="76">
        <f ca="1">O35*'Gas prc.'!O7</f>
        <v>50505555.257930093</v>
      </c>
      <c r="P44" s="77">
        <f ca="1">P35*'Gas prc.'!P7</f>
        <v>51169748.988661766</v>
      </c>
      <c r="Q44" s="77">
        <f ca="1">Q35*'Gas prc.'!Q7</f>
        <v>52323953.853067666</v>
      </c>
      <c r="R44" s="77">
        <f ca="1">R35*'Gas prc.'!R7</f>
        <v>55406000.356440522</v>
      </c>
      <c r="S44" s="77">
        <f ca="1">S35*'Gas prc.'!S7</f>
        <v>56700071.4477228</v>
      </c>
      <c r="T44" s="76">
        <f ca="1">T35*'Gas prc.'!T7</f>
        <v>57697475.042858288</v>
      </c>
      <c r="U44" s="77">
        <f ca="1">U35*'Gas prc.'!U7</f>
        <v>59240484.627509661</v>
      </c>
      <c r="V44" s="77">
        <f ca="1">V35*'Gas prc.'!V7</f>
        <v>58497444.086324416</v>
      </c>
      <c r="W44" s="77">
        <f ca="1">W35*'Gas prc.'!W7</f>
        <v>59013345.864108272</v>
      </c>
      <c r="X44" s="77">
        <f ca="1">X35*'Gas prc.'!X7</f>
        <v>59416552.457412049</v>
      </c>
      <c r="Y44" s="76">
        <f ca="1">Y35*'Gas prc.'!Y7</f>
        <v>60756775.445173241</v>
      </c>
      <c r="Z44" s="77">
        <f ca="1">Z35*'Gas prc.'!Z7</f>
        <v>62397292.814401276</v>
      </c>
      <c r="AA44" s="77">
        <f ca="1">AA35*'Gas prc.'!AA7</f>
        <v>61550159.196262844</v>
      </c>
      <c r="AB44" s="77">
        <f ca="1">AB35*'Gas prc.'!AB7</f>
        <v>63172337.748285547</v>
      </c>
      <c r="AC44" s="77">
        <f ca="1">AC35*'Gas prc.'!AC7</f>
        <v>64597277.697494999</v>
      </c>
      <c r="AD44" s="76">
        <f ca="1">AD35*'Gas prc.'!AD7</f>
        <v>66054359.149318181</v>
      </c>
      <c r="AE44" s="77">
        <f ca="1">AE35*'Gas prc.'!AE7</f>
        <v>67544307.100054696</v>
      </c>
      <c r="AF44" s="77">
        <f ca="1">AF35*'Gas prc.'!AF7</f>
        <v>69067862.899304032</v>
      </c>
      <c r="AG44" s="77">
        <f ca="1">AG35*'Gas prc.'!AG7</f>
        <v>70625784.618837193</v>
      </c>
      <c r="AH44" s="77">
        <f ca="1">AH35*'Gas prc.'!AH7</f>
        <v>72218847.429788411</v>
      </c>
      <c r="AI44" s="76">
        <f ca="1">AI35*'Gas prc.'!AI7</f>
        <v>73847843.98835507</v>
      </c>
      <c r="AJ44" s="77">
        <f ca="1">AJ35*'Gas prc.'!AJ7</f>
        <v>75513584.830197647</v>
      </c>
      <c r="AK44" s="77">
        <f ca="1">AK35*'Gas prc.'!AK7</f>
        <v>77216898.773735955</v>
      </c>
      <c r="AL44" s="77">
        <f ca="1">AL35*'Gas prc.'!AL7</f>
        <v>78958633.332542017</v>
      </c>
      <c r="AM44" s="77">
        <f ca="1">AM35*'Gas prc.'!AM7</f>
        <v>80739655.137035444</v>
      </c>
      <c r="AN44" s="76">
        <f ca="1">AN35*'Gas prc.'!AN7</f>
        <v>82560850.365690395</v>
      </c>
      <c r="AO44" s="77">
        <f ca="1">AO35*'Gas prc.'!AO7</f>
        <v>84423125.185969114</v>
      </c>
      <c r="AP44" s="77">
        <f ca="1">AP35*'Gas prc.'!AP7</f>
        <v>86327406.205201462</v>
      </c>
      <c r="AQ44" s="77">
        <f ca="1">AQ35*'Gas prc.'!AQ7</f>
        <v>88274640.931634605</v>
      </c>
    </row>
    <row r="45" spans="2:43" ht="12.75" customHeight="1" x14ac:dyDescent="0.15">
      <c r="C45" t="s">
        <v>255</v>
      </c>
      <c r="J45" s="76">
        <f ca="1">J36*'Gas prc.'!J9</f>
        <v>37722873.45333904</v>
      </c>
      <c r="K45" s="77">
        <f ca="1">K36*'Gas prc.'!K9</f>
        <v>38283939.961440288</v>
      </c>
      <c r="L45" s="77">
        <f ca="1">L36*'Gas prc.'!L9</f>
        <v>38043760.279572651</v>
      </c>
      <c r="M45" s="77">
        <f ca="1">M36*'Gas prc.'!M9</f>
        <v>37315553.878197156</v>
      </c>
      <c r="N45" s="77">
        <f ca="1">N36*'Gas prc.'!N9</f>
        <v>39678911.475920595</v>
      </c>
      <c r="O45" s="76">
        <f ca="1">O36*'Gas prc.'!O9</f>
        <v>40540721.248336092</v>
      </c>
      <c r="P45" s="77">
        <f ca="1">P36*'Gas prc.'!P9</f>
        <v>41073868.39927762</v>
      </c>
      <c r="Q45" s="77">
        <f ca="1">Q36*'Gas prc.'!Q9</f>
        <v>42000346.633847795</v>
      </c>
      <c r="R45" s="77">
        <f ca="1">R36*'Gas prc.'!R9</f>
        <v>44474299.994612575</v>
      </c>
      <c r="S45" s="77">
        <f ca="1">S36*'Gas prc.'!S9</f>
        <v>45513048.605914451</v>
      </c>
      <c r="T45" s="76">
        <f ca="1">T36*'Gas prc.'!T9</f>
        <v>46313662.734709322</v>
      </c>
      <c r="U45" s="77">
        <f ca="1">U36*'Gas prc.'!U9</f>
        <v>47552233.841091119</v>
      </c>
      <c r="V45" s="77">
        <f ca="1">V36*'Gas prc.'!V9</f>
        <v>46955796.492732495</v>
      </c>
      <c r="W45" s="77">
        <f ca="1">W36*'Gas prc.'!W9</f>
        <v>47369909.951318361</v>
      </c>
      <c r="X45" s="77">
        <f ca="1">X36*'Gas prc.'!X9</f>
        <v>47693563.181546152</v>
      </c>
      <c r="Y45" s="76">
        <f ca="1">Y36*'Gas prc.'!Y9</f>
        <v>48769357.839779794</v>
      </c>
      <c r="Z45" s="77">
        <f ca="1">Z36*'Gas prc.'!Z9</f>
        <v>50086198.275047876</v>
      </c>
      <c r="AA45" s="77">
        <f ca="1">AA36*'Gas prc.'!AA9</f>
        <v>49406205.595052309</v>
      </c>
      <c r="AB45" s="77">
        <f ca="1">AB36*'Gas prc.'!AB9</f>
        <v>50708325.493694648</v>
      </c>
      <c r="AC45" s="77">
        <f ca="1">AC36*'Gas prc.'!AC9</f>
        <v>51852122.309332237</v>
      </c>
      <c r="AD45" s="76">
        <f ca="1">AD36*'Gas prc.'!AD9</f>
        <v>53021719.053169504</v>
      </c>
      <c r="AE45" s="77">
        <f ca="1">AE36*'Gas prc.'!AE9</f>
        <v>54217697.678424105</v>
      </c>
      <c r="AF45" s="77">
        <f ca="1">AF36*'Gas prc.'!AF9</f>
        <v>55440653.265171699</v>
      </c>
      <c r="AG45" s="77">
        <f ca="1">AG36*'Gas prc.'!AG9</f>
        <v>56691194.316259272</v>
      </c>
      <c r="AH45" s="77">
        <f ca="1">AH36*'Gas prc.'!AH9</f>
        <v>57969943.060227714</v>
      </c>
      <c r="AI45" s="76">
        <f ca="1">AI36*'Gas prc.'!AI9</f>
        <v>59277535.760843344</v>
      </c>
      <c r="AJ45" s="77">
        <f ca="1">AJ36*'Gas prc.'!AJ9</f>
        <v>60614623.033608273</v>
      </c>
      <c r="AK45" s="77">
        <f ca="1">AK36*'Gas prc.'!AK9</f>
        <v>61981870.169707164</v>
      </c>
      <c r="AL45" s="77">
        <f ca="1">AL36*'Gas prc.'!AL9</f>
        <v>63379957.46678634</v>
      </c>
      <c r="AM45" s="77">
        <f ca="1">AM36*'Gas prc.'!AM9</f>
        <v>64809580.567557432</v>
      </c>
      <c r="AN45" s="76">
        <f ca="1">AN36*'Gas prc.'!AN9</f>
        <v>66271450.805912629</v>
      </c>
      <c r="AO45" s="77">
        <f ca="1">AO36*'Gas prc.'!AO9</f>
        <v>67766295.560936511</v>
      </c>
      <c r="AP45" s="77">
        <f ca="1">AP36*'Gas prc.'!AP9</f>
        <v>69294858.618707001</v>
      </c>
      <c r="AQ45" s="77">
        <f ca="1">AQ36*'Gas prc.'!AQ9</f>
        <v>70857900.542441398</v>
      </c>
    </row>
    <row r="46" spans="2:43" ht="12.75" customHeight="1" x14ac:dyDescent="0.15">
      <c r="J46" s="76"/>
      <c r="K46" s="77"/>
      <c r="L46" s="77"/>
      <c r="M46" s="77"/>
      <c r="N46" s="77"/>
      <c r="O46" s="76"/>
      <c r="P46" s="77"/>
      <c r="Q46" s="77"/>
      <c r="R46" s="77"/>
      <c r="S46" s="77"/>
      <c r="T46" s="76"/>
      <c r="U46" s="77"/>
      <c r="V46" s="77"/>
      <c r="W46" s="77"/>
      <c r="X46" s="77"/>
      <c r="Y46" s="76"/>
      <c r="Z46" s="77"/>
      <c r="AA46" s="77"/>
      <c r="AB46" s="77"/>
      <c r="AC46" s="77"/>
      <c r="AD46" s="76"/>
      <c r="AE46" s="77"/>
      <c r="AF46" s="77"/>
      <c r="AG46" s="77"/>
      <c r="AH46" s="77"/>
      <c r="AI46" s="76"/>
      <c r="AJ46" s="77"/>
      <c r="AK46" s="77"/>
      <c r="AL46" s="77"/>
      <c r="AM46" s="77"/>
      <c r="AN46" s="76"/>
      <c r="AO46" s="77"/>
      <c r="AP46" s="77"/>
      <c r="AQ46" s="77"/>
    </row>
    <row r="47" spans="2:43" ht="12.75" customHeight="1" x14ac:dyDescent="0.15">
      <c r="C47" t="s">
        <v>228</v>
      </c>
      <c r="J47" s="76">
        <f t="shared" ref="J47:AQ47" ca="1" si="10">SUM(J41:J42,J44:J45)</f>
        <v>133816997.42255443</v>
      </c>
      <c r="K47" s="77">
        <f t="shared" ca="1" si="10"/>
        <v>108846366.56166095</v>
      </c>
      <c r="L47" s="77">
        <f t="shared" ca="1" si="10"/>
        <v>96641896.488995731</v>
      </c>
      <c r="M47" s="77">
        <f t="shared" ca="1" si="10"/>
        <v>90608949.511544883</v>
      </c>
      <c r="N47" s="77">
        <f t="shared" ca="1" si="10"/>
        <v>97742107.649551809</v>
      </c>
      <c r="O47" s="76">
        <f t="shared" ca="1" si="10"/>
        <v>99030995.622147322</v>
      </c>
      <c r="P47" s="77">
        <f t="shared" ca="1" si="10"/>
        <v>100210081.03243938</v>
      </c>
      <c r="Q47" s="77">
        <f t="shared" ca="1" si="10"/>
        <v>102290764.13141546</v>
      </c>
      <c r="R47" s="77">
        <f t="shared" ca="1" si="10"/>
        <v>107916661.96005309</v>
      </c>
      <c r="S47" s="77">
        <f t="shared" ca="1" si="10"/>
        <v>110251074.34472331</v>
      </c>
      <c r="T47" s="76">
        <f t="shared" ca="1" si="10"/>
        <v>112039195.7885676</v>
      </c>
      <c r="U47" s="77">
        <f t="shared" ca="1" si="10"/>
        <v>114829080.07760078</v>
      </c>
      <c r="V47" s="77">
        <f t="shared" ca="1" si="10"/>
        <v>113419704.22355691</v>
      </c>
      <c r="W47" s="77">
        <f t="shared" ca="1" si="10"/>
        <v>114323301.70022172</v>
      </c>
      <c r="X47" s="77">
        <f t="shared" ca="1" si="10"/>
        <v>115020329.29245821</v>
      </c>
      <c r="Y47" s="76">
        <f t="shared" ca="1" si="10"/>
        <v>117436346.93845303</v>
      </c>
      <c r="Z47" s="77">
        <f t="shared" ca="1" si="10"/>
        <v>120402008.34094915</v>
      </c>
      <c r="AA47" s="77">
        <f t="shared" ca="1" si="10"/>
        <v>118807089.71756515</v>
      </c>
      <c r="AB47" s="77">
        <f t="shared" ca="1" si="10"/>
        <v>121738263.9799802</v>
      </c>
      <c r="AC47" s="77">
        <f t="shared" ca="1" si="10"/>
        <v>124307000.74482724</v>
      </c>
      <c r="AD47" s="76">
        <f t="shared" ca="1" si="10"/>
        <v>126933678.94048768</v>
      </c>
      <c r="AE47" s="77">
        <f t="shared" ca="1" si="10"/>
        <v>129619605.51647881</v>
      </c>
      <c r="AF47" s="77">
        <f t="shared" ca="1" si="10"/>
        <v>132366116.90247574</v>
      </c>
      <c r="AG47" s="77">
        <f t="shared" ca="1" si="10"/>
        <v>135174579.67309648</v>
      </c>
      <c r="AH47" s="77">
        <f t="shared" ca="1" si="10"/>
        <v>138046391.22801614</v>
      </c>
      <c r="AI47" s="76">
        <f t="shared" ca="1" si="10"/>
        <v>140982980.48719841</v>
      </c>
      <c r="AJ47" s="77">
        <f t="shared" ca="1" si="10"/>
        <v>143985808.60180593</v>
      </c>
      <c r="AK47" s="77">
        <f t="shared" ca="1" si="10"/>
        <v>147056369.68144313</v>
      </c>
      <c r="AL47" s="77">
        <f t="shared" ca="1" si="10"/>
        <v>150196191.53732836</v>
      </c>
      <c r="AM47" s="77">
        <f t="shared" ca="1" si="10"/>
        <v>153406836.44259289</v>
      </c>
      <c r="AN47" s="76">
        <f t="shared" ca="1" si="10"/>
        <v>156689901.90960303</v>
      </c>
      <c r="AO47" s="77">
        <f t="shared" ca="1" si="10"/>
        <v>160047021.48490563</v>
      </c>
      <c r="AP47" s="77">
        <f t="shared" ca="1" si="10"/>
        <v>163479865.56190848</v>
      </c>
      <c r="AQ47" s="77">
        <f t="shared" ca="1" si="10"/>
        <v>166990142.21207601</v>
      </c>
    </row>
  </sheetData>
  <pageMargins left="0.7" right="0.7" top="0.75" bottom="0.75" header="0.511811023622047" footer="0.511811023622047"/>
  <pageSetup paperSize="9"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808080"/>
    <pageSetUpPr fitToPage="1"/>
  </sheetPr>
  <dimension ref="B3:AQ28"/>
  <sheetViews>
    <sheetView showGridLines="0" zoomScaleNormal="100" workbookViewId="0">
      <pane xSplit="9" ySplit="5" topLeftCell="J6" activePane="bottomRight" state="frozen"/>
      <selection pane="topRight" activeCell="J1" sqref="J1"/>
      <selection pane="bottomLeft" activeCell="A6" sqref="A6"/>
      <selection pane="bottomRight" activeCell="M20" sqref="M20"/>
    </sheetView>
  </sheetViews>
  <sheetFormatPr baseColWidth="10" defaultColWidth="8.6640625" defaultRowHeight="13" x14ac:dyDescent="0.15"/>
  <cols>
    <col min="10" max="11" width="11.5" customWidth="1"/>
    <col min="12" max="12" width="12.83203125" bestFit="1" customWidth="1"/>
    <col min="13" max="14" width="15" bestFit="1" customWidth="1"/>
    <col min="15" max="23" width="12.33203125" bestFit="1" customWidth="1"/>
    <col min="24" max="43" width="11.5" customWidth="1"/>
  </cols>
  <sheetData>
    <row r="3" spans="2:43" ht="12.75" customHeight="1" x14ac:dyDescent="0.15">
      <c r="H3" t="s">
        <v>205</v>
      </c>
    </row>
    <row r="4" spans="2:43" ht="12.75" customHeight="1" x14ac:dyDescent="0.15">
      <c r="H4" t="s">
        <v>206</v>
      </c>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row>
    <row r="5" spans="2:43" ht="12.75" customHeight="1" x14ac:dyDescent="0.15">
      <c r="H5" t="s">
        <v>207</v>
      </c>
      <c r="J5" s="32">
        <v>2027</v>
      </c>
      <c r="K5" s="33">
        <f t="shared" ref="K5:AQ5" si="0">J5+1</f>
        <v>2028</v>
      </c>
      <c r="L5" s="33">
        <f t="shared" si="0"/>
        <v>2029</v>
      </c>
      <c r="M5" s="33">
        <f t="shared" si="0"/>
        <v>2030</v>
      </c>
      <c r="N5" s="33">
        <f t="shared" si="0"/>
        <v>2031</v>
      </c>
      <c r="O5" s="32">
        <f t="shared" si="0"/>
        <v>2032</v>
      </c>
      <c r="P5" s="33">
        <f t="shared" si="0"/>
        <v>2033</v>
      </c>
      <c r="Q5" s="33">
        <f t="shared" si="0"/>
        <v>2034</v>
      </c>
      <c r="R5" s="33">
        <f t="shared" si="0"/>
        <v>2035</v>
      </c>
      <c r="S5" s="33">
        <f t="shared" si="0"/>
        <v>2036</v>
      </c>
      <c r="T5" s="32">
        <f t="shared" si="0"/>
        <v>2037</v>
      </c>
      <c r="U5" s="33">
        <f t="shared" si="0"/>
        <v>2038</v>
      </c>
      <c r="V5" s="33">
        <f t="shared" si="0"/>
        <v>2039</v>
      </c>
      <c r="W5" s="33">
        <f t="shared" si="0"/>
        <v>2040</v>
      </c>
      <c r="X5" s="33">
        <f t="shared" si="0"/>
        <v>2041</v>
      </c>
      <c r="Y5" s="32">
        <f t="shared" si="0"/>
        <v>2042</v>
      </c>
      <c r="Z5" s="33">
        <f t="shared" si="0"/>
        <v>2043</v>
      </c>
      <c r="AA5" s="33">
        <f t="shared" si="0"/>
        <v>2044</v>
      </c>
      <c r="AB5" s="33">
        <f t="shared" si="0"/>
        <v>2045</v>
      </c>
      <c r="AC5" s="33">
        <f t="shared" si="0"/>
        <v>2046</v>
      </c>
      <c r="AD5" s="32">
        <f t="shared" si="0"/>
        <v>2047</v>
      </c>
      <c r="AE5" s="33">
        <f t="shared" si="0"/>
        <v>2048</v>
      </c>
      <c r="AF5" s="33">
        <f t="shared" si="0"/>
        <v>2049</v>
      </c>
      <c r="AG5" s="33">
        <f t="shared" si="0"/>
        <v>2050</v>
      </c>
      <c r="AH5" s="33">
        <f t="shared" si="0"/>
        <v>2051</v>
      </c>
      <c r="AI5" s="32">
        <f t="shared" si="0"/>
        <v>2052</v>
      </c>
      <c r="AJ5" s="33">
        <f t="shared" si="0"/>
        <v>2053</v>
      </c>
      <c r="AK5" s="33">
        <f t="shared" si="0"/>
        <v>2054</v>
      </c>
      <c r="AL5" s="33">
        <f t="shared" si="0"/>
        <v>2055</v>
      </c>
      <c r="AM5" s="33">
        <f t="shared" si="0"/>
        <v>2056</v>
      </c>
      <c r="AN5" s="32">
        <f t="shared" si="0"/>
        <v>2057</v>
      </c>
      <c r="AO5" s="33">
        <f t="shared" si="0"/>
        <v>2058</v>
      </c>
      <c r="AP5" s="33">
        <f t="shared" si="0"/>
        <v>2059</v>
      </c>
      <c r="AQ5" s="33">
        <f t="shared" si="0"/>
        <v>2060</v>
      </c>
    </row>
    <row r="6" spans="2:43" ht="12.75" customHeight="1" x14ac:dyDescent="0.15">
      <c r="J6" s="34"/>
      <c r="O6" s="34"/>
      <c r="T6" s="34"/>
      <c r="Y6" s="34"/>
      <c r="AD6" s="34"/>
      <c r="AI6" s="34"/>
      <c r="AN6" s="34"/>
    </row>
    <row r="7" spans="2:43" ht="12.75" customHeight="1" x14ac:dyDescent="0.15">
      <c r="B7" t="s">
        <v>256</v>
      </c>
      <c r="J7" s="34"/>
      <c r="O7" s="34"/>
      <c r="T7" s="34"/>
      <c r="Y7" s="34"/>
      <c r="AD7" s="34"/>
      <c r="AI7" s="34"/>
      <c r="AN7" s="34"/>
    </row>
    <row r="8" spans="2:43" ht="12.75" customHeight="1" x14ac:dyDescent="0.15">
      <c r="C8" t="s">
        <v>241</v>
      </c>
      <c r="J8" s="73">
        <f>Ops.!J23</f>
        <v>10.223846600468633</v>
      </c>
      <c r="K8" s="78">
        <f>Ops.!K23</f>
        <v>8.359562658938998</v>
      </c>
      <c r="L8" s="78">
        <f>Ops.!L23</f>
        <v>7.5248434814810992</v>
      </c>
      <c r="M8" s="78">
        <f>Ops.!M23</f>
        <v>7.2779659786298296</v>
      </c>
      <c r="N8" s="78">
        <f>Ops.!N23</f>
        <v>7.5156488578404037</v>
      </c>
      <c r="O8" s="73">
        <f>Ops.!O23</f>
        <v>7.5364549492085899</v>
      </c>
      <c r="P8" s="78">
        <f>Ops.!P23</f>
        <v>7.5112776355965849</v>
      </c>
      <c r="Q8" s="78">
        <f>Ops.!Q23</f>
        <v>7.4816289618944154</v>
      </c>
      <c r="R8" s="78">
        <f>Ops.!R23</f>
        <v>7.4473300013404184</v>
      </c>
      <c r="S8" s="78">
        <f>Ops.!S23</f>
        <v>7.4081962298507023</v>
      </c>
      <c r="T8" s="73">
        <f>Ops.!T23</f>
        <v>7.3640373685356195</v>
      </c>
      <c r="U8" s="78">
        <f>Ops.!U23</f>
        <v>7.3146572220410064</v>
      </c>
      <c r="V8" s="78">
        <f>Ops.!V23</f>
        <v>7.2598535126066963</v>
      </c>
      <c r="W8" s="78">
        <f>Ops.!W23</f>
        <v>7.1994177097233063</v>
      </c>
      <c r="X8" s="78">
        <f>Ops.!X23</f>
        <v>7.1331348552953244</v>
      </c>
      <c r="Y8" s="73">
        <f>Ops.!Y23</f>
        <v>7.0607833841873173</v>
      </c>
      <c r="Z8" s="78">
        <f>Ops.!Z23</f>
        <v>6.9821349400134807</v>
      </c>
      <c r="AA8" s="78">
        <f>Ops.!AA23</f>
        <v>6.896954186084912</v>
      </c>
      <c r="AB8" s="78">
        <f>Ops.!AB23</f>
        <v>6.8049986113799292</v>
      </c>
      <c r="AC8" s="78">
        <f>Ops.!AC23</f>
        <v>6.7060183313802071</v>
      </c>
      <c r="AD8" s="73">
        <f>Ops.!AD23</f>
        <v>6.5997558837017891</v>
      </c>
      <c r="AE8" s="78">
        <f>Ops.!AE23</f>
        <v>6.4859460183247393</v>
      </c>
      <c r="AF8" s="78">
        <f>Ops.!AF23</f>
        <v>6.364315482339336</v>
      </c>
      <c r="AG8" s="78">
        <f>Ops.!AG23</f>
        <v>6.2345827990235989</v>
      </c>
      <c r="AH8" s="78">
        <f>Ops.!AH23</f>
        <v>6.0964580411476419</v>
      </c>
      <c r="AI8" s="73">
        <f>Ops.!AI23</f>
        <v>5.949642598328694</v>
      </c>
      <c r="AJ8" s="78">
        <f>Ops.!AJ23</f>
        <v>5.7938289382985886</v>
      </c>
      <c r="AK8" s="78">
        <f>Ops.!AK23</f>
        <v>5.628700361941867</v>
      </c>
      <c r="AL8" s="78">
        <f>Ops.!AL23</f>
        <v>5.4539307519129636</v>
      </c>
      <c r="AM8" s="78">
        <f>Ops.!AM23</f>
        <v>5.2691843147074025</v>
      </c>
      <c r="AN8" s="73">
        <f>Ops.!AN23</f>
        <v>5.0741153159993218</v>
      </c>
      <c r="AO8" s="78">
        <f>Ops.!AO23</f>
        <v>4.8683678090844467</v>
      </c>
      <c r="AP8" s="78">
        <f>Ops.!AP23</f>
        <v>4.6515753562440665</v>
      </c>
      <c r="AQ8" s="78">
        <f>Ops.!AQ23</f>
        <v>4.4233607428651283</v>
      </c>
    </row>
    <row r="9" spans="2:43" ht="12.75" customHeight="1" x14ac:dyDescent="0.15">
      <c r="C9" t="s">
        <v>242</v>
      </c>
      <c r="J9" s="73">
        <f>Ops.!J24</f>
        <v>-0.46519483378949644</v>
      </c>
      <c r="K9" s="78">
        <f>Ops.!K24</f>
        <v>-3.456658518319955</v>
      </c>
      <c r="L9" s="78">
        <f>Ops.!L24</f>
        <v>-5.9042035264684714</v>
      </c>
      <c r="M9" s="78">
        <f>Ops.!M24</f>
        <v>-10.318284486799627</v>
      </c>
      <c r="N9" s="78">
        <f>Ops.!N24</f>
        <v>-8.1352459219323734</v>
      </c>
      <c r="O9" s="73">
        <f>Ops.!O24</f>
        <v>-6.2280645371872509</v>
      </c>
      <c r="P9" s="78">
        <f>Ops.!P24</f>
        <v>-4.4797138641001482</v>
      </c>
      <c r="Q9" s="78">
        <f>Ops.!Q24</f>
        <v>-4.5093625378023035</v>
      </c>
      <c r="R9" s="78">
        <f>Ops.!R24</f>
        <v>-2.1888001916585864</v>
      </c>
      <c r="S9" s="78">
        <f>Ops.!S24</f>
        <v>-2.2358219051350261</v>
      </c>
      <c r="T9" s="73">
        <f>Ops.!T24</f>
        <v>-1.380646549262039</v>
      </c>
      <c r="U9" s="78">
        <f>Ops.!U24</f>
        <v>-2.3214729709579842</v>
      </c>
      <c r="V9" s="78">
        <f>Ops.!V24</f>
        <v>-4.7311379870900225</v>
      </c>
      <c r="W9" s="78">
        <f>Ops.!W24</f>
        <v>-2.6799178542739099</v>
      </c>
      <c r="X9" s="78">
        <f>Ops.!X24</f>
        <v>-0.4457192005134516</v>
      </c>
      <c r="Y9" s="73">
        <f>Ops.!Y24</f>
        <v>-0.5180706716214587</v>
      </c>
      <c r="Z9" s="78">
        <f>Ops.!Z24</f>
        <v>-1.5584933965716345</v>
      </c>
      <c r="AA9" s="78">
        <f>Ops.!AA24</f>
        <v>-4.2103861848376596</v>
      </c>
      <c r="AB9" s="78">
        <f>Ops.!AB24</f>
        <v>-5.223570927863193</v>
      </c>
      <c r="AC9" s="78">
        <f>Ops.!AC24</f>
        <v>-5.3225512078924595</v>
      </c>
      <c r="AD9" s="73">
        <f>Ops.!AD24</f>
        <v>-5.4288136555276623</v>
      </c>
      <c r="AE9" s="78">
        <f>Ops.!AE24</f>
        <v>-5.5426235209311443</v>
      </c>
      <c r="AF9" s="78">
        <f>Ops.!AF24</f>
        <v>-5.6642540569035731</v>
      </c>
      <c r="AG9" s="78">
        <f>Ops.!AG24</f>
        <v>-5.7939867401825751</v>
      </c>
      <c r="AH9" s="78">
        <f>Ops.!AH24</f>
        <v>-5.9321114981304106</v>
      </c>
      <c r="AI9" s="73">
        <f>Ops.!AI24</f>
        <v>-6.0789269409285822</v>
      </c>
      <c r="AJ9" s="78">
        <f>Ops.!AJ24</f>
        <v>-6.2347406009332076</v>
      </c>
      <c r="AK9" s="78">
        <f>Ops.!AK24</f>
        <v>-6.3998691773186351</v>
      </c>
      <c r="AL9" s="78">
        <f>Ops.!AL24</f>
        <v>-6.5746387872840728</v>
      </c>
      <c r="AM9" s="78">
        <f>Ops.!AM24</f>
        <v>-6.7593852244894919</v>
      </c>
      <c r="AN9" s="73">
        <f>Ops.!AN24</f>
        <v>-6.9544542232384714</v>
      </c>
      <c r="AO9" s="78">
        <f>Ops.!AO24</f>
        <v>-7.1602017301908774</v>
      </c>
      <c r="AP9" s="78">
        <f>Ops.!AP24</f>
        <v>-7.3769941829969241</v>
      </c>
      <c r="AQ9" s="78">
        <f>Ops.!AQ24</f>
        <v>-7.6052087963821862</v>
      </c>
    </row>
    <row r="10" spans="2:43" ht="12.75" customHeight="1" x14ac:dyDescent="0.15">
      <c r="J10" s="34"/>
      <c r="O10" s="34"/>
      <c r="T10" s="34"/>
      <c r="Y10" s="34"/>
      <c r="AD10" s="34"/>
      <c r="AI10" s="34"/>
      <c r="AN10" s="34"/>
    </row>
    <row r="11" spans="2:43" ht="12.75" customHeight="1" x14ac:dyDescent="0.15">
      <c r="B11" t="s">
        <v>257</v>
      </c>
      <c r="J11" s="34"/>
      <c r="O11" s="34"/>
      <c r="T11" s="34"/>
      <c r="Y11" s="34"/>
      <c r="AD11" s="34"/>
      <c r="AI11" s="34"/>
      <c r="AN11" s="34"/>
    </row>
    <row r="12" spans="2:43" ht="12.75" customHeight="1" x14ac:dyDescent="0.15">
      <c r="C12" s="72" t="s">
        <v>236</v>
      </c>
      <c r="J12" s="74">
        <f ca="1">Ops.!J16</f>
        <v>2965.1856240000002</v>
      </c>
      <c r="K12" s="21">
        <f ca="1">Ops.!K16</f>
        <v>2906.7066521311467</v>
      </c>
      <c r="L12" s="21">
        <f ca="1">Ops.!L16</f>
        <v>2774.8763100000001</v>
      </c>
      <c r="M12" s="21">
        <f ca="1">Ops.!M16</f>
        <v>2613.9963179999995</v>
      </c>
      <c r="N12" s="21">
        <f ca="1">Ops.!N16</f>
        <v>2681.679024</v>
      </c>
      <c r="O12" s="41">
        <f ca="1">Ops.!O16</f>
        <v>2646.2921545081967</v>
      </c>
      <c r="P12" s="21">
        <f ca="1">Ops.!P16</f>
        <v>2621.9515259999998</v>
      </c>
      <c r="Q12" s="21">
        <f ca="1">Ops.!Q16</f>
        <v>2621.9515259999998</v>
      </c>
      <c r="R12" s="21">
        <f ca="1">Ops.!R16</f>
        <v>2715.1488119999995</v>
      </c>
      <c r="S12" s="21">
        <f ca="1">Ops.!S16</f>
        <v>2717.2723881147531</v>
      </c>
      <c r="T12" s="41">
        <f ca="1">Ops.!T16</f>
        <v>2704.0773480000003</v>
      </c>
      <c r="U12" s="21">
        <f ca="1">Ops.!U16</f>
        <v>2715.1488119999995</v>
      </c>
      <c r="V12" s="21">
        <f ca="1">Ops.!V16</f>
        <v>2621.9515259999998</v>
      </c>
      <c r="W12" s="21">
        <f ca="1">Ops.!W16</f>
        <v>2586.7278463934426</v>
      </c>
      <c r="X12" s="21">
        <f ca="1">Ops.!X16</f>
        <v>2546.9515379999998</v>
      </c>
      <c r="Y12" s="41">
        <f ca="1">Ops.!Y16</f>
        <v>2546.9515379999998</v>
      </c>
      <c r="Z12" s="21">
        <f ca="1">Ops.!Z16</f>
        <v>2558.0230019999999</v>
      </c>
      <c r="AA12" s="21">
        <f ca="1">Ops.!AA16</f>
        <v>2467.6332350000002</v>
      </c>
      <c r="AB12" s="21">
        <f ca="1">Ops.!AB16</f>
        <v>2476.8009840000009</v>
      </c>
      <c r="AC12" s="21">
        <f ca="1">Ops.!AC16</f>
        <v>2476.8009840000009</v>
      </c>
      <c r="AD12" s="41">
        <f ca="1">Ops.!AD16</f>
        <v>2476.8009840000009</v>
      </c>
      <c r="AE12" s="21">
        <f ca="1">Ops.!AE16</f>
        <v>2476.8009840000009</v>
      </c>
      <c r="AF12" s="21">
        <f ca="1">Ops.!AF16</f>
        <v>2476.8009840000009</v>
      </c>
      <c r="AG12" s="21">
        <f ca="1">Ops.!AG16</f>
        <v>2476.8009840000009</v>
      </c>
      <c r="AH12" s="21">
        <f ca="1">Ops.!AH16</f>
        <v>2476.8009840000009</v>
      </c>
      <c r="AI12" s="41">
        <f ca="1">Ops.!AI16</f>
        <v>2476.8009840000009</v>
      </c>
      <c r="AJ12" s="21">
        <f ca="1">Ops.!AJ16</f>
        <v>2476.8009840000009</v>
      </c>
      <c r="AK12" s="21">
        <f ca="1">Ops.!AK16</f>
        <v>2476.8009840000009</v>
      </c>
      <c r="AL12" s="21">
        <f ca="1">Ops.!AL16</f>
        <v>2476.8009840000009</v>
      </c>
      <c r="AM12" s="21">
        <f ca="1">Ops.!AM16</f>
        <v>2476.8009840000009</v>
      </c>
      <c r="AN12" s="41">
        <f ca="1">Ops.!AN16</f>
        <v>2476.8009840000009</v>
      </c>
      <c r="AO12" s="21">
        <f ca="1">Ops.!AO16</f>
        <v>2476.8009840000009</v>
      </c>
      <c r="AP12" s="21">
        <f ca="1">Ops.!AP16</f>
        <v>2476.8009840000009</v>
      </c>
      <c r="AQ12" s="21">
        <f ca="1">Ops.!AQ16</f>
        <v>2476.8009840000009</v>
      </c>
    </row>
    <row r="13" spans="2:43" ht="12.75" customHeight="1" x14ac:dyDescent="0.15">
      <c r="C13" s="72" t="s">
        <v>237</v>
      </c>
      <c r="J13" s="74">
        <f>Ops.!J17</f>
        <v>0</v>
      </c>
      <c r="K13" s="21">
        <f>Ops.!K17</f>
        <v>0</v>
      </c>
      <c r="L13" s="21">
        <f>Ops.!L17</f>
        <v>0</v>
      </c>
      <c r="M13" s="21">
        <f>Ops.!M17</f>
        <v>0</v>
      </c>
      <c r="N13" s="21">
        <f>Ops.!N17</f>
        <v>0</v>
      </c>
      <c r="O13" s="41">
        <f>Ops.!O17</f>
        <v>0</v>
      </c>
      <c r="P13" s="21">
        <f>Ops.!P17</f>
        <v>0</v>
      </c>
      <c r="Q13" s="21">
        <f>Ops.!Q17</f>
        <v>0</v>
      </c>
      <c r="R13" s="21">
        <f>Ops.!R17</f>
        <v>0</v>
      </c>
      <c r="S13" s="21">
        <f>Ops.!S17</f>
        <v>0</v>
      </c>
      <c r="T13" s="41">
        <f>Ops.!T17</f>
        <v>0</v>
      </c>
      <c r="U13" s="21">
        <f>Ops.!U17</f>
        <v>0</v>
      </c>
      <c r="V13" s="21">
        <f>Ops.!V17</f>
        <v>0</v>
      </c>
      <c r="W13" s="21">
        <f>Ops.!W17</f>
        <v>0</v>
      </c>
      <c r="X13" s="21">
        <f>Ops.!X17</f>
        <v>0</v>
      </c>
      <c r="Y13" s="41">
        <f>Ops.!Y17</f>
        <v>0</v>
      </c>
      <c r="Z13" s="21">
        <f>Ops.!Z17</f>
        <v>0</v>
      </c>
      <c r="AA13" s="21">
        <f>Ops.!AA17</f>
        <v>0</v>
      </c>
      <c r="AB13" s="21">
        <f>Ops.!AB17</f>
        <v>0</v>
      </c>
      <c r="AC13" s="21">
        <f>Ops.!AC17</f>
        <v>0</v>
      </c>
      <c r="AD13" s="41">
        <f>Ops.!AD17</f>
        <v>0</v>
      </c>
      <c r="AE13" s="21">
        <f>Ops.!AE17</f>
        <v>0</v>
      </c>
      <c r="AF13" s="21">
        <f>Ops.!AF17</f>
        <v>0</v>
      </c>
      <c r="AG13" s="21">
        <f>Ops.!AG17</f>
        <v>0</v>
      </c>
      <c r="AH13" s="21">
        <f>Ops.!AH17</f>
        <v>0</v>
      </c>
      <c r="AI13" s="41">
        <f>Ops.!AI17</f>
        <v>0</v>
      </c>
      <c r="AJ13" s="21">
        <f>Ops.!AJ17</f>
        <v>0</v>
      </c>
      <c r="AK13" s="21">
        <f>Ops.!AK17</f>
        <v>0</v>
      </c>
      <c r="AL13" s="21">
        <f>Ops.!AL17</f>
        <v>0</v>
      </c>
      <c r="AM13" s="21">
        <f>Ops.!AM17</f>
        <v>0</v>
      </c>
      <c r="AN13" s="41">
        <f>Ops.!AN17</f>
        <v>0</v>
      </c>
      <c r="AO13" s="21">
        <f>Ops.!AO17</f>
        <v>0</v>
      </c>
      <c r="AP13" s="21">
        <f>Ops.!AP17</f>
        <v>0</v>
      </c>
      <c r="AQ13" s="21">
        <f>Ops.!AQ17</f>
        <v>0</v>
      </c>
    </row>
    <row r="14" spans="2:43" ht="12.75" customHeight="1" x14ac:dyDescent="0.15">
      <c r="J14" s="34"/>
      <c r="O14" s="34"/>
      <c r="T14" s="34"/>
      <c r="Y14" s="34"/>
      <c r="AD14" s="34"/>
      <c r="AI14" s="34"/>
      <c r="AN14" s="34"/>
    </row>
    <row r="15" spans="2:43" ht="12.75" customHeight="1" x14ac:dyDescent="0.15">
      <c r="B15" t="s">
        <v>258</v>
      </c>
      <c r="J15" s="43"/>
      <c r="K15" s="44"/>
      <c r="L15" s="44"/>
      <c r="M15" s="44"/>
      <c r="N15" s="44"/>
      <c r="O15" s="43"/>
      <c r="P15" s="44"/>
      <c r="Q15" s="44"/>
      <c r="R15" s="44"/>
      <c r="S15" s="44"/>
      <c r="T15" s="43"/>
      <c r="U15" s="44"/>
      <c r="V15" s="44"/>
      <c r="W15" s="44"/>
      <c r="X15" s="44"/>
      <c r="Y15" s="43"/>
      <c r="Z15" s="44"/>
      <c r="AA15" s="44"/>
      <c r="AB15" s="44"/>
      <c r="AC15" s="44"/>
      <c r="AD15" s="43"/>
      <c r="AE15" s="44"/>
      <c r="AF15" s="44"/>
      <c r="AG15" s="44"/>
      <c r="AH15" s="44"/>
      <c r="AI15" s="43"/>
      <c r="AJ15" s="44"/>
      <c r="AK15" s="44"/>
      <c r="AL15" s="44"/>
      <c r="AM15" s="44"/>
      <c r="AN15" s="43"/>
      <c r="AO15" s="44"/>
      <c r="AP15" s="44"/>
      <c r="AQ15" s="44"/>
    </row>
    <row r="16" spans="2:43" ht="12.75" customHeight="1" x14ac:dyDescent="0.15">
      <c r="C16" t="s">
        <v>244</v>
      </c>
      <c r="J16" s="35">
        <f ca="1">Ops.!J28</f>
        <v>1482592.8120000002</v>
      </c>
      <c r="K16" s="21">
        <f ca="1">Ops.!K28</f>
        <v>1453353.3260655734</v>
      </c>
      <c r="L16" s="21">
        <f ca="1">Ops.!L28</f>
        <v>1387438.155</v>
      </c>
      <c r="M16" s="21">
        <f ca="1">Ops.!M28</f>
        <v>1306998.1589999998</v>
      </c>
      <c r="N16" s="21">
        <f ca="1">Ops.!N28</f>
        <v>1340839.5120000001</v>
      </c>
      <c r="O16" s="41">
        <f ca="1">Ops.!O28</f>
        <v>1323146.0772540984</v>
      </c>
      <c r="P16" s="21">
        <f ca="1">Ops.!P28</f>
        <v>1310975.7629999998</v>
      </c>
      <c r="Q16" s="21">
        <f ca="1">Ops.!Q28</f>
        <v>1310975.7629999998</v>
      </c>
      <c r="R16" s="21">
        <f ca="1">Ops.!R28</f>
        <v>1357574.4059999997</v>
      </c>
      <c r="S16" s="21">
        <f ca="1">Ops.!S28</f>
        <v>1358636.1940573766</v>
      </c>
      <c r="T16" s="41">
        <f ca="1">Ops.!T28</f>
        <v>1352038.6740000001</v>
      </c>
      <c r="U16" s="21">
        <f ca="1">Ops.!U28</f>
        <v>1357574.4059999997</v>
      </c>
      <c r="V16" s="21">
        <f ca="1">Ops.!V28</f>
        <v>1310975.7629999998</v>
      </c>
      <c r="W16" s="21">
        <f ca="1">Ops.!W28</f>
        <v>1293363.9231967214</v>
      </c>
      <c r="X16" s="21">
        <f ca="1">Ops.!X28</f>
        <v>1273475.7689999999</v>
      </c>
      <c r="Y16" s="41">
        <f ca="1">Ops.!Y28</f>
        <v>1273475.7689999999</v>
      </c>
      <c r="Z16" s="21">
        <f ca="1">Ops.!Z28</f>
        <v>1279011.5009999999</v>
      </c>
      <c r="AA16" s="21">
        <f ca="1">Ops.!AA28</f>
        <v>1233816.6175000002</v>
      </c>
      <c r="AB16" s="21">
        <f ca="1">Ops.!AB28</f>
        <v>1238400.4920000006</v>
      </c>
      <c r="AC16" s="21">
        <f ca="1">Ops.!AC28</f>
        <v>1238400.4920000006</v>
      </c>
      <c r="AD16" s="41">
        <f ca="1">Ops.!AD28</f>
        <v>1238400.4920000006</v>
      </c>
      <c r="AE16" s="21">
        <f ca="1">Ops.!AE28</f>
        <v>1238400.4920000006</v>
      </c>
      <c r="AF16" s="21">
        <f ca="1">Ops.!AF28</f>
        <v>1238400.4920000006</v>
      </c>
      <c r="AG16" s="21">
        <f ca="1">Ops.!AG28</f>
        <v>1238400.4920000006</v>
      </c>
      <c r="AH16" s="21">
        <f ca="1">Ops.!AH28</f>
        <v>1238400.4920000006</v>
      </c>
      <c r="AI16" s="41">
        <f ca="1">Ops.!AI28</f>
        <v>1238400.4920000006</v>
      </c>
      <c r="AJ16" s="21">
        <f ca="1">Ops.!AJ28</f>
        <v>1238400.4920000006</v>
      </c>
      <c r="AK16" s="21">
        <f ca="1">Ops.!AK28</f>
        <v>1238400.4920000006</v>
      </c>
      <c r="AL16" s="21">
        <f ca="1">Ops.!AL28</f>
        <v>1238400.4920000006</v>
      </c>
      <c r="AM16" s="21">
        <f ca="1">Ops.!AM28</f>
        <v>1238400.4920000006</v>
      </c>
      <c r="AN16" s="41">
        <f ca="1">Ops.!AN28</f>
        <v>1238400.4920000006</v>
      </c>
      <c r="AO16" s="21">
        <f ca="1">Ops.!AO28</f>
        <v>1238400.4920000006</v>
      </c>
      <c r="AP16" s="21">
        <f ca="1">Ops.!AP28</f>
        <v>1238400.4920000006</v>
      </c>
      <c r="AQ16" s="21">
        <f ca="1">Ops.!AQ28</f>
        <v>1238400.4920000006</v>
      </c>
    </row>
    <row r="17" spans="2:43" ht="12.75" customHeight="1" x14ac:dyDescent="0.15">
      <c r="C17" t="s">
        <v>245</v>
      </c>
      <c r="J17" s="35">
        <f>Ops.!J29</f>
        <v>0</v>
      </c>
      <c r="K17" s="21">
        <f>Ops.!K29</f>
        <v>0</v>
      </c>
      <c r="L17" s="21">
        <f>Ops.!L29</f>
        <v>0</v>
      </c>
      <c r="M17" s="21">
        <f>Ops.!M29</f>
        <v>0</v>
      </c>
      <c r="N17" s="21">
        <f>Ops.!N29</f>
        <v>0</v>
      </c>
      <c r="O17" s="41">
        <f>Ops.!O29</f>
        <v>0</v>
      </c>
      <c r="P17" s="21">
        <f>Ops.!P29</f>
        <v>0</v>
      </c>
      <c r="Q17" s="21">
        <f>Ops.!Q29</f>
        <v>0</v>
      </c>
      <c r="R17" s="21">
        <f>Ops.!R29</f>
        <v>0</v>
      </c>
      <c r="S17" s="21">
        <f>Ops.!S29</f>
        <v>0</v>
      </c>
      <c r="T17" s="41">
        <f>Ops.!T29</f>
        <v>0</v>
      </c>
      <c r="U17" s="21">
        <f>Ops.!U29</f>
        <v>0</v>
      </c>
      <c r="V17" s="21">
        <f>Ops.!V29</f>
        <v>0</v>
      </c>
      <c r="W17" s="21">
        <f>Ops.!W29</f>
        <v>0</v>
      </c>
      <c r="X17" s="21">
        <f>Ops.!X29</f>
        <v>0</v>
      </c>
      <c r="Y17" s="41">
        <f>Ops.!Y29</f>
        <v>0</v>
      </c>
      <c r="Z17" s="21">
        <f>Ops.!Z29</f>
        <v>0</v>
      </c>
      <c r="AA17" s="21">
        <f>Ops.!AA29</f>
        <v>0</v>
      </c>
      <c r="AB17" s="21">
        <f>Ops.!AB29</f>
        <v>0</v>
      </c>
      <c r="AC17" s="21">
        <f>Ops.!AC29</f>
        <v>0</v>
      </c>
      <c r="AD17" s="41">
        <f>Ops.!AD29</f>
        <v>0</v>
      </c>
      <c r="AE17" s="21">
        <f>Ops.!AE29</f>
        <v>0</v>
      </c>
      <c r="AF17" s="21">
        <f>Ops.!AF29</f>
        <v>0</v>
      </c>
      <c r="AG17" s="21">
        <f>Ops.!AG29</f>
        <v>0</v>
      </c>
      <c r="AH17" s="21">
        <f>Ops.!AH29</f>
        <v>0</v>
      </c>
      <c r="AI17" s="41">
        <f>Ops.!AI29</f>
        <v>0</v>
      </c>
      <c r="AJ17" s="21">
        <f>Ops.!AJ29</f>
        <v>0</v>
      </c>
      <c r="AK17" s="21">
        <f>Ops.!AK29</f>
        <v>0</v>
      </c>
      <c r="AL17" s="21">
        <f>Ops.!AL29</f>
        <v>0</v>
      </c>
      <c r="AM17" s="21">
        <f>Ops.!AM29</f>
        <v>0</v>
      </c>
      <c r="AN17" s="41">
        <f>Ops.!AN29</f>
        <v>0</v>
      </c>
      <c r="AO17" s="21">
        <f>Ops.!AO29</f>
        <v>0</v>
      </c>
      <c r="AP17" s="21">
        <f>Ops.!AP29</f>
        <v>0</v>
      </c>
      <c r="AQ17" s="21">
        <f>Ops.!AQ29</f>
        <v>0</v>
      </c>
    </row>
    <row r="18" spans="2:43" ht="12.75" customHeight="1" x14ac:dyDescent="0.15">
      <c r="J18" s="43"/>
      <c r="K18" s="44"/>
      <c r="L18" s="44"/>
      <c r="M18" s="44"/>
      <c r="N18" s="44"/>
      <c r="O18" s="43"/>
      <c r="P18" s="44"/>
      <c r="Q18" s="44"/>
      <c r="R18" s="44"/>
      <c r="S18" s="44"/>
      <c r="T18" s="43"/>
      <c r="U18" s="44"/>
      <c r="V18" s="44"/>
      <c r="W18" s="44"/>
      <c r="X18" s="44"/>
      <c r="Y18" s="43"/>
      <c r="Z18" s="44"/>
      <c r="AA18" s="44"/>
      <c r="AB18" s="44"/>
      <c r="AC18" s="44"/>
      <c r="AD18" s="43"/>
      <c r="AE18" s="44"/>
      <c r="AF18" s="44"/>
      <c r="AG18" s="44"/>
      <c r="AH18" s="44"/>
      <c r="AI18" s="43"/>
      <c r="AJ18" s="44"/>
      <c r="AK18" s="44"/>
      <c r="AL18" s="44"/>
      <c r="AM18" s="44"/>
      <c r="AN18" s="43"/>
      <c r="AO18" s="44"/>
      <c r="AP18" s="44"/>
      <c r="AQ18" s="44"/>
    </row>
    <row r="19" spans="2:43" ht="12.75" customHeight="1" x14ac:dyDescent="0.15">
      <c r="J19" s="34"/>
      <c r="O19" s="34"/>
      <c r="T19" s="34"/>
      <c r="Y19" s="34"/>
      <c r="AD19" s="34"/>
      <c r="AI19" s="34"/>
      <c r="AN19" s="34"/>
    </row>
    <row r="20" spans="2:43" ht="12.75" customHeight="1" x14ac:dyDescent="0.15">
      <c r="B20" t="s">
        <v>259</v>
      </c>
      <c r="J20" s="43"/>
      <c r="K20" s="44"/>
      <c r="L20" s="44"/>
      <c r="M20" s="44"/>
      <c r="N20" s="44"/>
      <c r="O20" s="43"/>
      <c r="P20" s="44"/>
      <c r="Q20" s="44"/>
      <c r="R20" s="44"/>
      <c r="S20" s="44"/>
      <c r="T20" s="43"/>
      <c r="U20" s="44"/>
      <c r="V20" s="44"/>
      <c r="W20" s="44"/>
      <c r="X20" s="44"/>
      <c r="Y20" s="43"/>
      <c r="Z20" s="44"/>
      <c r="AA20" s="44"/>
      <c r="AB20" s="44"/>
      <c r="AC20" s="44"/>
      <c r="AD20" s="43"/>
      <c r="AE20" s="44"/>
      <c r="AF20" s="44"/>
      <c r="AG20" s="44"/>
      <c r="AH20" s="44"/>
      <c r="AI20" s="43"/>
      <c r="AJ20" s="44"/>
      <c r="AK20" s="44"/>
      <c r="AL20" s="44"/>
      <c r="AM20" s="44"/>
      <c r="AN20" s="43"/>
      <c r="AO20" s="44"/>
      <c r="AP20" s="44"/>
      <c r="AQ20" s="44"/>
    </row>
    <row r="21" spans="2:43" ht="12.75" customHeight="1" x14ac:dyDescent="0.15">
      <c r="C21" t="s">
        <v>260</v>
      </c>
      <c r="J21" s="74">
        <f>'Gas prc.'!J14</f>
        <v>94.935648241494277</v>
      </c>
      <c r="K21" s="75">
        <f>'Gas prc.'!K14</f>
        <v>77.624437735862074</v>
      </c>
      <c r="L21" s="75">
        <f>'Gas prc.'!L14</f>
        <v>71.355248416896558</v>
      </c>
      <c r="M21" s="75">
        <f>'Gas prc.'!M14</f>
        <v>70.513290147931045</v>
      </c>
      <c r="N21" s="75">
        <f>'Gas prc.'!N14</f>
        <v>74.437042192758625</v>
      </c>
      <c r="O21" s="74">
        <f>'Gas prc.'!O14</f>
        <v>76.346904582413799</v>
      </c>
      <c r="P21" s="75">
        <f>'Gas prc.'!P14</f>
        <v>77.873842674062075</v>
      </c>
      <c r="Q21" s="75">
        <f>'Gas prc.'!Q14</f>
        <v>79.431319527543309</v>
      </c>
      <c r="R21" s="75">
        <f>'Gas prc.'!R14</f>
        <v>81.01994591809418</v>
      </c>
      <c r="S21" s="75">
        <f>'Gas prc.'!S14</f>
        <v>82.640344836456052</v>
      </c>
      <c r="T21" s="74">
        <f>'Gas prc.'!T14</f>
        <v>84.293151733179599</v>
      </c>
      <c r="U21" s="75">
        <f>'Gas prc.'!U14</f>
        <v>85.979014767833448</v>
      </c>
      <c r="V21" s="75">
        <f>'Gas prc.'!V14</f>
        <v>87.698595063206156</v>
      </c>
      <c r="W21" s="75">
        <f>'Gas prc.'!W14</f>
        <v>89.452566964486977</v>
      </c>
      <c r="X21" s="75">
        <f>'Gas prc.'!X14</f>
        <v>91.241618303760703</v>
      </c>
      <c r="Y21" s="74">
        <f>'Gas prc.'!Y14</f>
        <v>93.066450669838702</v>
      </c>
      <c r="Z21" s="75">
        <f>'Gas prc.'!Z14</f>
        <v>94.927779683241766</v>
      </c>
      <c r="AA21" s="75">
        <f>'Gas prc.'!AA14</f>
        <v>96.826335276881522</v>
      </c>
      <c r="AB21" s="75">
        <f>'Gas prc.'!AB14</f>
        <v>98.762861982432383</v>
      </c>
      <c r="AC21" s="75">
        <f>'Gas prc.'!AC14</f>
        <v>100.73811922207267</v>
      </c>
      <c r="AD21" s="74">
        <f>'Gas prc.'!AD14</f>
        <v>102.75288160652946</v>
      </c>
      <c r="AE21" s="75">
        <f>'Gas prc.'!AE14</f>
        <v>104.80793923865588</v>
      </c>
      <c r="AF21" s="75">
        <f>'Gas prc.'!AF14</f>
        <v>106.90409802344291</v>
      </c>
      <c r="AG21" s="75">
        <f>'Gas prc.'!AG14</f>
        <v>109.04217998390618</v>
      </c>
      <c r="AH21" s="75">
        <f>'Gas prc.'!AH14</f>
        <v>111.22302358357805</v>
      </c>
      <c r="AI21" s="74">
        <f>'Gas prc.'!AI14</f>
        <v>113.44748405525728</v>
      </c>
      <c r="AJ21" s="75">
        <f>'Gas prc.'!AJ14</f>
        <v>115.71643373633179</v>
      </c>
      <c r="AK21" s="75">
        <f>'Gas prc.'!AK14</f>
        <v>118.03076241106051</v>
      </c>
      <c r="AL21" s="75">
        <f>'Gas prc.'!AL14</f>
        <v>120.39137765929704</v>
      </c>
      <c r="AM21" s="75">
        <f>'Gas prc.'!AM14</f>
        <v>122.7992052124969</v>
      </c>
      <c r="AN21" s="74">
        <f>'Gas prc.'!AN14</f>
        <v>125.2551893167378</v>
      </c>
      <c r="AO21" s="75">
        <f>'Gas prc.'!AO14</f>
        <v>127.76029310307533</v>
      </c>
      <c r="AP21" s="75">
        <f>'Gas prc.'!AP14</f>
        <v>130.31549896514099</v>
      </c>
      <c r="AQ21" s="75">
        <f>'Gas prc.'!AQ14</f>
        <v>132.92180894444732</v>
      </c>
    </row>
    <row r="22" spans="2:43" ht="12.75" customHeight="1" x14ac:dyDescent="0.15">
      <c r="C22" t="s">
        <v>261</v>
      </c>
      <c r="J22" s="74">
        <f>'Gas prc.'!J15</f>
        <v>84.246606807236148</v>
      </c>
      <c r="K22" s="75">
        <f>'Gas prc.'!K15</f>
        <v>65.808216558603121</v>
      </c>
      <c r="L22" s="75">
        <f>'Gas prc.'!L15</f>
        <v>57.926201408946987</v>
      </c>
      <c r="M22" s="75">
        <f>'Gas prc.'!M15</f>
        <v>52.917039682501589</v>
      </c>
      <c r="N22" s="75">
        <f>'Gas prc.'!N15</f>
        <v>58.786147412985848</v>
      </c>
      <c r="O22" s="74">
        <f>'Gas prc.'!O15</f>
        <v>62.582385096017958</v>
      </c>
      <c r="P22" s="75">
        <f>'Gas prc.'!P15</f>
        <v>65.882851174365342</v>
      </c>
      <c r="Q22" s="75">
        <f>'Gas prc.'!Q15</f>
        <v>67.44032802784659</v>
      </c>
      <c r="R22" s="75">
        <f>'Gas prc.'!R15</f>
        <v>71.383815725095175</v>
      </c>
      <c r="S22" s="75">
        <f>'Gas prc.'!S15</f>
        <v>72.996326701470323</v>
      </c>
      <c r="T22" s="74">
        <f>'Gas prc.'!T15</f>
        <v>75.54846781538194</v>
      </c>
      <c r="U22" s="75">
        <f>'Gas prc.'!U15</f>
        <v>76.342884574834457</v>
      </c>
      <c r="V22" s="75">
        <f>'Gas prc.'!V15</f>
        <v>75.707603563509437</v>
      </c>
      <c r="W22" s="75">
        <f>'Gas prc.'!W15</f>
        <v>79.57323140048976</v>
      </c>
      <c r="X22" s="75">
        <f>'Gas prc.'!X15</f>
        <v>83.662764247951927</v>
      </c>
      <c r="Y22" s="74">
        <f>'Gas prc.'!Y15</f>
        <v>85.487596614029925</v>
      </c>
      <c r="Z22" s="75">
        <f>'Gas prc.'!Z15</f>
        <v>86.387151346656651</v>
      </c>
      <c r="AA22" s="75">
        <f>'Gas prc.'!AA15</f>
        <v>85.718994905958951</v>
      </c>
      <c r="AB22" s="75">
        <f>'Gas prc.'!AB15</f>
        <v>86.734292443189261</v>
      </c>
      <c r="AC22" s="75">
        <f>'Gas prc.'!AC15</f>
        <v>88.709549682800002</v>
      </c>
      <c r="AD22" s="74">
        <f>'Gas prc.'!AD15</f>
        <v>90.724312067300005</v>
      </c>
      <c r="AE22" s="75">
        <f>'Gas prc.'!AE15</f>
        <v>92.779369699399993</v>
      </c>
      <c r="AF22" s="75">
        <f>'Gas prc.'!AF15</f>
        <v>94.875528484200004</v>
      </c>
      <c r="AG22" s="75">
        <f>'Gas prc.'!AG15</f>
        <v>97.013610444700006</v>
      </c>
      <c r="AH22" s="75">
        <f>'Gas prc.'!AH15</f>
        <v>99.194454044300002</v>
      </c>
      <c r="AI22" s="74">
        <f>'Gas prc.'!AI15</f>
        <v>101.418914516</v>
      </c>
      <c r="AJ22" s="75">
        <f>'Gas prc.'!AJ15</f>
        <v>103.6878641971</v>
      </c>
      <c r="AK22" s="75">
        <f>'Gas prc.'!AK15</f>
        <v>106.00219287180001</v>
      </c>
      <c r="AL22" s="75">
        <f>'Gas prc.'!AL15</f>
        <v>108.3628081201</v>
      </c>
      <c r="AM22" s="75">
        <f>'Gas prc.'!AM15</f>
        <v>110.77063567330001</v>
      </c>
      <c r="AN22" s="74">
        <f>'Gas prc.'!AN15</f>
        <v>113.22661977750001</v>
      </c>
      <c r="AO22" s="75">
        <f>'Gas prc.'!AO15</f>
        <v>115.7317235638</v>
      </c>
      <c r="AP22" s="75">
        <f>'Gas prc.'!AP15</f>
        <v>118.2869294259</v>
      </c>
      <c r="AQ22" s="75">
        <f>'Gas prc.'!AQ15</f>
        <v>120.89323940520001</v>
      </c>
    </row>
    <row r="23" spans="2:43" ht="12.75" customHeight="1" x14ac:dyDescent="0.15">
      <c r="C23" t="s">
        <v>262</v>
      </c>
      <c r="J23" s="74">
        <v>0</v>
      </c>
      <c r="K23" s="75">
        <v>0</v>
      </c>
      <c r="L23" s="75">
        <v>0</v>
      </c>
      <c r="M23" s="75">
        <v>0</v>
      </c>
      <c r="N23" s="75">
        <v>0</v>
      </c>
      <c r="O23" s="74">
        <v>0</v>
      </c>
      <c r="P23" s="75">
        <v>0</v>
      </c>
      <c r="Q23" s="75">
        <v>0</v>
      </c>
      <c r="R23" s="75">
        <v>0</v>
      </c>
      <c r="S23" s="75">
        <v>0</v>
      </c>
      <c r="T23" s="74">
        <v>0</v>
      </c>
      <c r="U23" s="75">
        <v>0</v>
      </c>
      <c r="V23" s="75">
        <v>0</v>
      </c>
      <c r="W23" s="75">
        <v>0</v>
      </c>
      <c r="X23" s="75">
        <v>0</v>
      </c>
      <c r="Y23" s="74">
        <v>0</v>
      </c>
      <c r="Z23" s="75">
        <v>0</v>
      </c>
      <c r="AA23" s="75">
        <v>0</v>
      </c>
      <c r="AB23" s="75">
        <v>0</v>
      </c>
      <c r="AC23" s="75">
        <v>0</v>
      </c>
      <c r="AD23" s="74">
        <v>0</v>
      </c>
      <c r="AE23" s="75">
        <v>0</v>
      </c>
      <c r="AF23" s="75">
        <v>0</v>
      </c>
      <c r="AG23" s="75">
        <v>0</v>
      </c>
      <c r="AH23" s="75">
        <v>0</v>
      </c>
      <c r="AI23" s="74">
        <v>0</v>
      </c>
      <c r="AJ23" s="75">
        <v>0</v>
      </c>
      <c r="AK23" s="75">
        <v>0</v>
      </c>
      <c r="AL23" s="75">
        <v>0</v>
      </c>
      <c r="AM23" s="75">
        <v>0</v>
      </c>
      <c r="AN23" s="74">
        <v>0</v>
      </c>
      <c r="AO23" s="75">
        <v>0</v>
      </c>
      <c r="AP23" s="75">
        <v>0</v>
      </c>
      <c r="AQ23" s="75">
        <v>0</v>
      </c>
    </row>
    <row r="24" spans="2:43" ht="12.75" customHeight="1" x14ac:dyDescent="0.15">
      <c r="J24" s="34"/>
      <c r="O24" s="34"/>
      <c r="T24" s="34"/>
      <c r="Y24" s="34"/>
      <c r="AD24" s="34"/>
      <c r="AI24" s="34"/>
      <c r="AN24" s="34"/>
    </row>
    <row r="25" spans="2:43" ht="12.75" customHeight="1" x14ac:dyDescent="0.15">
      <c r="B25" t="s">
        <v>251</v>
      </c>
      <c r="J25" s="43"/>
      <c r="K25" s="44"/>
      <c r="L25" s="44"/>
      <c r="M25" s="44"/>
      <c r="N25" s="44"/>
      <c r="O25" s="43"/>
      <c r="P25" s="44"/>
      <c r="Q25" s="44"/>
      <c r="R25" s="44"/>
      <c r="S25" s="44"/>
      <c r="T25" s="43"/>
      <c r="U25" s="44"/>
      <c r="V25" s="44"/>
      <c r="W25" s="44"/>
      <c r="X25" s="44"/>
      <c r="Y25" s="43"/>
      <c r="Z25" s="44"/>
      <c r="AA25" s="44"/>
      <c r="AB25" s="44"/>
      <c r="AC25" s="44"/>
      <c r="AD25" s="43"/>
      <c r="AE25" s="44"/>
      <c r="AF25" s="44"/>
      <c r="AG25" s="44"/>
      <c r="AH25" s="44"/>
      <c r="AI25" s="43"/>
      <c r="AJ25" s="44"/>
      <c r="AK25" s="44"/>
      <c r="AL25" s="44"/>
      <c r="AM25" s="44"/>
      <c r="AN25" s="43"/>
      <c r="AO25" s="44"/>
      <c r="AP25" s="44"/>
      <c r="AQ25" s="44"/>
    </row>
    <row r="26" spans="2:43" ht="12.75" customHeight="1" x14ac:dyDescent="0.15">
      <c r="C26" t="s">
        <v>263</v>
      </c>
      <c r="J26" s="76">
        <f t="shared" ref="J26:AQ26" ca="1" si="1">J16*J21</f>
        <v>140750909.68539986</v>
      </c>
      <c r="K26" s="77">
        <f t="shared" ca="1" si="1"/>
        <v>112815734.76738515</v>
      </c>
      <c r="L26" s="77">
        <f t="shared" ca="1" si="1"/>
        <v>99000994.213105634</v>
      </c>
      <c r="M26" s="77">
        <f t="shared" ca="1" si="1"/>
        <v>92160740.40837869</v>
      </c>
      <c r="N26" s="77">
        <f t="shared" ca="1" si="1"/>
        <v>99808127.328461885</v>
      </c>
      <c r="O26" s="76">
        <f t="shared" ca="1" si="1"/>
        <v>101018107.30871376</v>
      </c>
      <c r="P26" s="77">
        <f t="shared" ca="1" si="1"/>
        <v>102090720.31737047</v>
      </c>
      <c r="Q26" s="77">
        <f t="shared" ca="1" si="1"/>
        <v>104132534.72371787</v>
      </c>
      <c r="R26" s="77">
        <f t="shared" ca="1" si="1"/>
        <v>109990604.95390882</v>
      </c>
      <c r="S26" s="77">
        <f t="shared" ca="1" si="1"/>
        <v>112278163.58419183</v>
      </c>
      <c r="T26" s="76">
        <f t="shared" ca="1" si="1"/>
        <v>113967601.09660895</v>
      </c>
      <c r="U26" s="77">
        <f t="shared" ca="1" si="1"/>
        <v>116722909.9019067</v>
      </c>
      <c r="V26" s="77">
        <f t="shared" ca="1" si="1"/>
        <v>114970732.5770147</v>
      </c>
      <c r="W26" s="77">
        <f t="shared" ca="1" si="1"/>
        <v>115694722.94920631</v>
      </c>
      <c r="X26" s="77">
        <f t="shared" ca="1" si="1"/>
        <v>116193990.03418612</v>
      </c>
      <c r="Y26" s="76">
        <f t="shared" ca="1" si="1"/>
        <v>118517869.83487339</v>
      </c>
      <c r="Z26" s="77">
        <f t="shared" ca="1" si="1"/>
        <v>121413721.97926036</v>
      </c>
      <c r="AA26" s="77">
        <f t="shared" ca="1" si="1"/>
        <v>119465941.4762429</v>
      </c>
      <c r="AB26" s="77">
        <f t="shared" ca="1" si="1"/>
        <v>122307976.87037241</v>
      </c>
      <c r="AC26" s="77">
        <f t="shared" ca="1" si="1"/>
        <v>124754136.4077695</v>
      </c>
      <c r="AD26" s="76">
        <f t="shared" ca="1" si="1"/>
        <v>127249219.13594389</v>
      </c>
      <c r="AE26" s="77">
        <f t="shared" ca="1" si="1"/>
        <v>129794203.51865759</v>
      </c>
      <c r="AF26" s="77">
        <f t="shared" ca="1" si="1"/>
        <v>132390087.58904798</v>
      </c>
      <c r="AG26" s="77">
        <f t="shared" ca="1" si="1"/>
        <v>135037889.34082201</v>
      </c>
      <c r="AH26" s="77">
        <f t="shared" ca="1" si="1"/>
        <v>137738647.12763074</v>
      </c>
      <c r="AI26" s="76">
        <f t="shared" ca="1" si="1"/>
        <v>140493420.07019284</v>
      </c>
      <c r="AJ26" s="77">
        <f t="shared" ca="1" si="1"/>
        <v>143303288.47155875</v>
      </c>
      <c r="AK26" s="77">
        <f t="shared" ca="1" si="1"/>
        <v>146169354.24099252</v>
      </c>
      <c r="AL26" s="77">
        <f t="shared" ca="1" si="1"/>
        <v>149092741.32583132</v>
      </c>
      <c r="AM26" s="77">
        <f t="shared" ca="1" si="1"/>
        <v>152074596.15236521</v>
      </c>
      <c r="AN26" s="76">
        <f t="shared" ca="1" si="1"/>
        <v>155116088.07540131</v>
      </c>
      <c r="AO26" s="77">
        <f t="shared" ca="1" si="1"/>
        <v>158218409.83691275</v>
      </c>
      <c r="AP26" s="77">
        <f t="shared" ca="1" si="1"/>
        <v>161382778.03365615</v>
      </c>
      <c r="AQ26" s="77">
        <f t="shared" ca="1" si="1"/>
        <v>164610433.59433365</v>
      </c>
    </row>
    <row r="27" spans="2:43" ht="12.75" customHeight="1" x14ac:dyDescent="0.15">
      <c r="C27" s="2" t="s">
        <v>264</v>
      </c>
      <c r="J27" s="76">
        <f t="shared" ref="J27:AQ27" si="2">J17*J22</f>
        <v>0</v>
      </c>
      <c r="K27" s="77">
        <f t="shared" si="2"/>
        <v>0</v>
      </c>
      <c r="L27" s="77">
        <f t="shared" si="2"/>
        <v>0</v>
      </c>
      <c r="M27" s="77">
        <f t="shared" si="2"/>
        <v>0</v>
      </c>
      <c r="N27" s="77">
        <f t="shared" si="2"/>
        <v>0</v>
      </c>
      <c r="O27" s="76">
        <f t="shared" si="2"/>
        <v>0</v>
      </c>
      <c r="P27" s="77">
        <f t="shared" si="2"/>
        <v>0</v>
      </c>
      <c r="Q27" s="77">
        <f t="shared" si="2"/>
        <v>0</v>
      </c>
      <c r="R27" s="77">
        <f t="shared" si="2"/>
        <v>0</v>
      </c>
      <c r="S27" s="77">
        <f t="shared" si="2"/>
        <v>0</v>
      </c>
      <c r="T27" s="76">
        <f t="shared" si="2"/>
        <v>0</v>
      </c>
      <c r="U27" s="77">
        <f t="shared" si="2"/>
        <v>0</v>
      </c>
      <c r="V27" s="77">
        <f t="shared" si="2"/>
        <v>0</v>
      </c>
      <c r="W27" s="77">
        <f t="shared" si="2"/>
        <v>0</v>
      </c>
      <c r="X27" s="77">
        <f t="shared" si="2"/>
        <v>0</v>
      </c>
      <c r="Y27" s="76">
        <f t="shared" si="2"/>
        <v>0</v>
      </c>
      <c r="Z27" s="77">
        <f t="shared" si="2"/>
        <v>0</v>
      </c>
      <c r="AA27" s="77">
        <f t="shared" si="2"/>
        <v>0</v>
      </c>
      <c r="AB27" s="77">
        <f t="shared" si="2"/>
        <v>0</v>
      </c>
      <c r="AC27" s="77">
        <f t="shared" si="2"/>
        <v>0</v>
      </c>
      <c r="AD27" s="76">
        <f t="shared" si="2"/>
        <v>0</v>
      </c>
      <c r="AE27" s="77">
        <f t="shared" si="2"/>
        <v>0</v>
      </c>
      <c r="AF27" s="77">
        <f t="shared" si="2"/>
        <v>0</v>
      </c>
      <c r="AG27" s="77">
        <f t="shared" si="2"/>
        <v>0</v>
      </c>
      <c r="AH27" s="77">
        <f t="shared" si="2"/>
        <v>0</v>
      </c>
      <c r="AI27" s="76">
        <f t="shared" si="2"/>
        <v>0</v>
      </c>
      <c r="AJ27" s="77">
        <f t="shared" si="2"/>
        <v>0</v>
      </c>
      <c r="AK27" s="77">
        <f t="shared" si="2"/>
        <v>0</v>
      </c>
      <c r="AL27" s="77">
        <f t="shared" si="2"/>
        <v>0</v>
      </c>
      <c r="AM27" s="77">
        <f t="shared" si="2"/>
        <v>0</v>
      </c>
      <c r="AN27" s="76">
        <f t="shared" si="2"/>
        <v>0</v>
      </c>
      <c r="AO27" s="77">
        <f t="shared" si="2"/>
        <v>0</v>
      </c>
      <c r="AP27" s="77">
        <f t="shared" si="2"/>
        <v>0</v>
      </c>
      <c r="AQ27" s="77">
        <f t="shared" si="2"/>
        <v>0</v>
      </c>
    </row>
    <row r="28" spans="2:43" x14ac:dyDescent="0.15">
      <c r="C28" t="s">
        <v>265</v>
      </c>
      <c r="J28" s="77">
        <f t="shared" ref="J28:AQ28" ca="1" si="3">SUM(J26:J27)</f>
        <v>140750909.68539986</v>
      </c>
      <c r="K28" s="77">
        <f t="shared" ca="1" si="3"/>
        <v>112815734.76738515</v>
      </c>
      <c r="L28" s="77">
        <f t="shared" ca="1" si="3"/>
        <v>99000994.213105634</v>
      </c>
      <c r="M28" s="77">
        <f t="shared" ca="1" si="3"/>
        <v>92160740.40837869</v>
      </c>
      <c r="N28" s="77">
        <f t="shared" ca="1" si="3"/>
        <v>99808127.328461885</v>
      </c>
      <c r="O28" s="77">
        <f t="shared" ca="1" si="3"/>
        <v>101018107.30871376</v>
      </c>
      <c r="P28" s="77">
        <f t="shared" ca="1" si="3"/>
        <v>102090720.31737047</v>
      </c>
      <c r="Q28" s="77">
        <f t="shared" ca="1" si="3"/>
        <v>104132534.72371787</v>
      </c>
      <c r="R28" s="77">
        <f t="shared" ca="1" si="3"/>
        <v>109990604.95390882</v>
      </c>
      <c r="S28" s="77">
        <f t="shared" ca="1" si="3"/>
        <v>112278163.58419183</v>
      </c>
      <c r="T28" s="77">
        <f t="shared" ca="1" si="3"/>
        <v>113967601.09660895</v>
      </c>
      <c r="U28" s="77">
        <f t="shared" ca="1" si="3"/>
        <v>116722909.9019067</v>
      </c>
      <c r="V28" s="77">
        <f t="shared" ca="1" si="3"/>
        <v>114970732.5770147</v>
      </c>
      <c r="W28" s="77">
        <f t="shared" ca="1" si="3"/>
        <v>115694722.94920631</v>
      </c>
      <c r="X28" s="77">
        <f t="shared" ca="1" si="3"/>
        <v>116193990.03418612</v>
      </c>
      <c r="Y28" s="77">
        <f t="shared" ca="1" si="3"/>
        <v>118517869.83487339</v>
      </c>
      <c r="Z28" s="77">
        <f t="shared" ca="1" si="3"/>
        <v>121413721.97926036</v>
      </c>
      <c r="AA28" s="77">
        <f t="shared" ca="1" si="3"/>
        <v>119465941.4762429</v>
      </c>
      <c r="AB28" s="77">
        <f t="shared" ca="1" si="3"/>
        <v>122307976.87037241</v>
      </c>
      <c r="AC28" s="77">
        <f t="shared" ca="1" si="3"/>
        <v>124754136.4077695</v>
      </c>
      <c r="AD28" s="77">
        <f t="shared" ca="1" si="3"/>
        <v>127249219.13594389</v>
      </c>
      <c r="AE28" s="77">
        <f t="shared" ca="1" si="3"/>
        <v>129794203.51865759</v>
      </c>
      <c r="AF28" s="77">
        <f t="shared" ca="1" si="3"/>
        <v>132390087.58904798</v>
      </c>
      <c r="AG28" s="77">
        <f t="shared" ca="1" si="3"/>
        <v>135037889.34082201</v>
      </c>
      <c r="AH28" s="77">
        <f t="shared" ca="1" si="3"/>
        <v>137738647.12763074</v>
      </c>
      <c r="AI28" s="77">
        <f t="shared" ca="1" si="3"/>
        <v>140493420.07019284</v>
      </c>
      <c r="AJ28" s="77">
        <f t="shared" ca="1" si="3"/>
        <v>143303288.47155875</v>
      </c>
      <c r="AK28" s="77">
        <f t="shared" ca="1" si="3"/>
        <v>146169354.24099252</v>
      </c>
      <c r="AL28" s="77">
        <f t="shared" ca="1" si="3"/>
        <v>149092741.32583132</v>
      </c>
      <c r="AM28" s="77">
        <f t="shared" ca="1" si="3"/>
        <v>152074596.15236521</v>
      </c>
      <c r="AN28" s="77">
        <f t="shared" ca="1" si="3"/>
        <v>155116088.07540131</v>
      </c>
      <c r="AO28" s="77">
        <f t="shared" ca="1" si="3"/>
        <v>158218409.83691275</v>
      </c>
      <c r="AP28" s="77">
        <f t="shared" ca="1" si="3"/>
        <v>161382778.03365615</v>
      </c>
      <c r="AQ28" s="77">
        <f t="shared" ca="1" si="3"/>
        <v>164610433.59433365</v>
      </c>
    </row>
  </sheetData>
  <pageMargins left="0.7" right="0.7" top="0.75" bottom="0.75" header="0.511811023622047" footer="0.511811023622047"/>
  <pageSetup paperSize="9"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808080"/>
    <pageSetUpPr fitToPage="1"/>
  </sheetPr>
  <dimension ref="B3:AQ79"/>
  <sheetViews>
    <sheetView showGridLines="0" zoomScaleNormal="100" workbookViewId="0">
      <pane xSplit="9" ySplit="5" topLeftCell="J6" activePane="bottomRight" state="frozen"/>
      <selection pane="topRight" activeCell="J1" sqref="J1"/>
      <selection pane="bottomLeft" activeCell="A6" sqref="A6"/>
      <selection pane="bottomRight" activeCell="J27" sqref="J27"/>
    </sheetView>
  </sheetViews>
  <sheetFormatPr baseColWidth="10" defaultColWidth="8.6640625" defaultRowHeight="13" x14ac:dyDescent="0.15"/>
  <cols>
    <col min="1" max="1" width="8.6640625" style="77" customWidth="1"/>
    <col min="2" max="2" width="19.1640625" style="77" customWidth="1"/>
    <col min="3" max="3" width="13.1640625" style="77" customWidth="1"/>
    <col min="4" max="4" width="10.1640625" style="77" customWidth="1"/>
    <col min="5" max="5" width="12" style="77" customWidth="1"/>
    <col min="6" max="7" width="8.6640625" style="77" customWidth="1"/>
    <col min="8" max="8" width="7.83203125" style="77" customWidth="1"/>
    <col min="9" max="9" width="8.83203125" style="77" customWidth="1"/>
    <col min="10" max="43" width="12.33203125" style="77" bestFit="1" customWidth="1"/>
    <col min="44" max="51" width="8.6640625" style="77" customWidth="1"/>
    <col min="52" max="16384" width="8.6640625" style="77"/>
  </cols>
  <sheetData>
    <row r="3" spans="2:43" ht="12.75" customHeight="1" x14ac:dyDescent="0.15">
      <c r="H3" s="77" t="s">
        <v>205</v>
      </c>
    </row>
    <row r="4" spans="2:43" ht="12.75" customHeight="1" x14ac:dyDescent="0.15">
      <c r="H4" s="77" t="s">
        <v>206</v>
      </c>
    </row>
    <row r="5" spans="2:43" ht="12.75" customHeight="1" x14ac:dyDescent="0.15">
      <c r="H5" s="77" t="s">
        <v>207</v>
      </c>
      <c r="J5" s="89">
        <v>2027</v>
      </c>
      <c r="K5" s="90">
        <f t="shared" ref="K5:AQ5" si="0">J5+1</f>
        <v>2028</v>
      </c>
      <c r="L5" s="90">
        <f t="shared" si="0"/>
        <v>2029</v>
      </c>
      <c r="M5" s="90">
        <f t="shared" si="0"/>
        <v>2030</v>
      </c>
      <c r="N5" s="90">
        <f t="shared" si="0"/>
        <v>2031</v>
      </c>
      <c r="O5" s="89">
        <f t="shared" si="0"/>
        <v>2032</v>
      </c>
      <c r="P5" s="90">
        <f t="shared" si="0"/>
        <v>2033</v>
      </c>
      <c r="Q5" s="90">
        <f t="shared" si="0"/>
        <v>2034</v>
      </c>
      <c r="R5" s="90">
        <f t="shared" si="0"/>
        <v>2035</v>
      </c>
      <c r="S5" s="90">
        <f t="shared" si="0"/>
        <v>2036</v>
      </c>
      <c r="T5" s="89">
        <f t="shared" si="0"/>
        <v>2037</v>
      </c>
      <c r="U5" s="90">
        <f t="shared" si="0"/>
        <v>2038</v>
      </c>
      <c r="V5" s="90">
        <f t="shared" si="0"/>
        <v>2039</v>
      </c>
      <c r="W5" s="90">
        <f t="shared" si="0"/>
        <v>2040</v>
      </c>
      <c r="X5" s="90">
        <f t="shared" si="0"/>
        <v>2041</v>
      </c>
      <c r="Y5" s="89">
        <f t="shared" si="0"/>
        <v>2042</v>
      </c>
      <c r="Z5" s="90">
        <f t="shared" si="0"/>
        <v>2043</v>
      </c>
      <c r="AA5" s="90">
        <f t="shared" si="0"/>
        <v>2044</v>
      </c>
      <c r="AB5" s="90">
        <f t="shared" si="0"/>
        <v>2045</v>
      </c>
      <c r="AC5" s="90">
        <f t="shared" si="0"/>
        <v>2046</v>
      </c>
      <c r="AD5" s="89">
        <f t="shared" si="0"/>
        <v>2047</v>
      </c>
      <c r="AE5" s="90">
        <f t="shared" si="0"/>
        <v>2048</v>
      </c>
      <c r="AF5" s="90">
        <f t="shared" si="0"/>
        <v>2049</v>
      </c>
      <c r="AG5" s="90">
        <f t="shared" si="0"/>
        <v>2050</v>
      </c>
      <c r="AH5" s="90">
        <f t="shared" si="0"/>
        <v>2051</v>
      </c>
      <c r="AI5" s="89">
        <f t="shared" si="0"/>
        <v>2052</v>
      </c>
      <c r="AJ5" s="90">
        <f t="shared" si="0"/>
        <v>2053</v>
      </c>
      <c r="AK5" s="90">
        <f t="shared" si="0"/>
        <v>2054</v>
      </c>
      <c r="AL5" s="90">
        <f t="shared" si="0"/>
        <v>2055</v>
      </c>
      <c r="AM5" s="90">
        <f t="shared" si="0"/>
        <v>2056</v>
      </c>
      <c r="AN5" s="89">
        <f t="shared" si="0"/>
        <v>2057</v>
      </c>
      <c r="AO5" s="90">
        <f t="shared" si="0"/>
        <v>2058</v>
      </c>
      <c r="AP5" s="90">
        <f t="shared" si="0"/>
        <v>2059</v>
      </c>
      <c r="AQ5" s="90">
        <f t="shared" si="0"/>
        <v>2060</v>
      </c>
    </row>
    <row r="6" spans="2:43" ht="12.75" customHeight="1" x14ac:dyDescent="0.15">
      <c r="J6" s="76"/>
      <c r="O6" s="76"/>
      <c r="T6" s="76"/>
      <c r="Y6" s="76"/>
      <c r="AD6" s="76"/>
      <c r="AI6" s="76"/>
      <c r="AN6" s="76"/>
    </row>
    <row r="7" spans="2:43" ht="12.75" customHeight="1" x14ac:dyDescent="0.15">
      <c r="J7" s="76"/>
      <c r="O7" s="76"/>
      <c r="T7" s="76"/>
      <c r="Y7" s="76"/>
      <c r="AD7" s="76"/>
      <c r="AI7" s="76"/>
      <c r="AN7" s="76"/>
    </row>
    <row r="8" spans="2:43" ht="12.75" customHeight="1" x14ac:dyDescent="0.15">
      <c r="B8" s="77" t="s">
        <v>266</v>
      </c>
      <c r="J8" s="76"/>
      <c r="O8" s="76"/>
      <c r="T8" s="76"/>
      <c r="Y8" s="76"/>
      <c r="AD8" s="76"/>
      <c r="AI8" s="76"/>
      <c r="AN8" s="76"/>
    </row>
    <row r="9" spans="2:43" ht="12.75" customHeight="1" x14ac:dyDescent="0.15">
      <c r="J9" s="76"/>
      <c r="O9" s="76"/>
      <c r="T9" s="76"/>
      <c r="Y9" s="76"/>
      <c r="AD9" s="76"/>
      <c r="AI9" s="76"/>
      <c r="AN9" s="76"/>
    </row>
    <row r="10" spans="2:43" ht="12.75" customHeight="1" x14ac:dyDescent="0.15">
      <c r="C10" s="77" t="s">
        <v>251</v>
      </c>
      <c r="J10" s="76">
        <f ca="1">'Rev.'!J28</f>
        <v>140750909.68539986</v>
      </c>
      <c r="K10" s="77">
        <f ca="1">'Rev.'!K28</f>
        <v>112815734.76738515</v>
      </c>
      <c r="L10" s="77">
        <f ca="1">'Rev.'!L28</f>
        <v>99000994.213105634</v>
      </c>
      <c r="M10" s="77">
        <f ca="1">'Rev.'!M28</f>
        <v>92160740.40837869</v>
      </c>
      <c r="N10" s="77">
        <f ca="1">'Rev.'!N28</f>
        <v>99808127.328461885</v>
      </c>
      <c r="O10" s="76">
        <f ca="1">'Rev.'!O28</f>
        <v>101018107.30871376</v>
      </c>
      <c r="P10" s="77">
        <f ca="1">'Rev.'!P28</f>
        <v>102090720.31737047</v>
      </c>
      <c r="Q10" s="77">
        <f ca="1">'Rev.'!Q28</f>
        <v>104132534.72371787</v>
      </c>
      <c r="R10" s="77">
        <f ca="1">'Rev.'!R28</f>
        <v>109990604.95390882</v>
      </c>
      <c r="S10" s="77">
        <f ca="1">'Rev.'!S28</f>
        <v>112278163.58419183</v>
      </c>
      <c r="T10" s="76">
        <f ca="1">'Rev.'!T28</f>
        <v>113967601.09660895</v>
      </c>
      <c r="U10" s="77">
        <f ca="1">'Rev.'!U28</f>
        <v>116722909.9019067</v>
      </c>
      <c r="V10" s="77">
        <f ca="1">'Rev.'!V28</f>
        <v>114970732.5770147</v>
      </c>
      <c r="W10" s="77">
        <f ca="1">'Rev.'!W28</f>
        <v>115694722.94920631</v>
      </c>
      <c r="X10" s="77">
        <f ca="1">'Rev.'!X28</f>
        <v>116193990.03418612</v>
      </c>
      <c r="Y10" s="76">
        <f ca="1">'Rev.'!Y28</f>
        <v>118517869.83487339</v>
      </c>
      <c r="Z10" s="77">
        <f ca="1">'Rev.'!Z28</f>
        <v>121413721.97926036</v>
      </c>
      <c r="AA10" s="77">
        <f ca="1">'Rev.'!AA28</f>
        <v>119465941.4762429</v>
      </c>
      <c r="AB10" s="77">
        <f ca="1">'Rev.'!AB28</f>
        <v>122307976.87037241</v>
      </c>
      <c r="AC10" s="77">
        <f ca="1">'Rev.'!AC28</f>
        <v>124754136.4077695</v>
      </c>
      <c r="AD10" s="76">
        <f ca="1">'Rev.'!AD28</f>
        <v>127249219.13594389</v>
      </c>
      <c r="AE10" s="77">
        <f ca="1">'Rev.'!AE28</f>
        <v>129794203.51865759</v>
      </c>
      <c r="AF10" s="77">
        <f ca="1">'Rev.'!AF28</f>
        <v>132390087.58904798</v>
      </c>
      <c r="AG10" s="77">
        <f ca="1">'Rev.'!AG28</f>
        <v>135037889.34082201</v>
      </c>
      <c r="AH10" s="77">
        <f ca="1">'Rev.'!AH28</f>
        <v>137738647.12763074</v>
      </c>
      <c r="AI10" s="76">
        <f ca="1">'Rev.'!AI28</f>
        <v>140493420.07019284</v>
      </c>
      <c r="AJ10" s="77">
        <f ca="1">'Rev.'!AJ28</f>
        <v>143303288.47155875</v>
      </c>
      <c r="AK10" s="77">
        <f ca="1">'Rev.'!AK28</f>
        <v>146169354.24099252</v>
      </c>
      <c r="AL10" s="77">
        <f ca="1">'Rev.'!AL28</f>
        <v>149092741.32583132</v>
      </c>
      <c r="AM10" s="77">
        <f ca="1">'Rev.'!AM28</f>
        <v>152074596.15236521</v>
      </c>
      <c r="AN10" s="76">
        <f ca="1">'Rev.'!AN28</f>
        <v>155116088.07540131</v>
      </c>
      <c r="AO10" s="77">
        <f ca="1">'Rev.'!AO28</f>
        <v>158218409.83691275</v>
      </c>
      <c r="AP10" s="77">
        <f ca="1">'Rev.'!AP28</f>
        <v>161382778.03365615</v>
      </c>
      <c r="AQ10" s="77">
        <f ca="1">'Rev.'!AQ28</f>
        <v>164610433.59433365</v>
      </c>
    </row>
    <row r="11" spans="2:43" ht="12.75" customHeight="1" x14ac:dyDescent="0.15">
      <c r="J11" s="76"/>
      <c r="O11" s="76"/>
      <c r="T11" s="76"/>
      <c r="Y11" s="76"/>
      <c r="AD11" s="76"/>
      <c r="AI11" s="76"/>
      <c r="AN11" s="76"/>
    </row>
    <row r="12" spans="2:43" ht="12.75" customHeight="1" x14ac:dyDescent="0.15">
      <c r="C12" s="77" t="s">
        <v>231</v>
      </c>
      <c r="J12" s="76"/>
      <c r="O12" s="76"/>
      <c r="T12" s="76"/>
      <c r="Y12" s="76"/>
      <c r="AD12" s="76"/>
      <c r="AI12" s="76"/>
      <c r="AN12" s="76"/>
    </row>
    <row r="13" spans="2:43" ht="12.75" customHeight="1" x14ac:dyDescent="0.15">
      <c r="D13" s="77" t="s">
        <v>267</v>
      </c>
      <c r="J13" s="76">
        <f ca="1">-SUM(Ops.!J41:J42)</f>
        <v>-8223889.2180000003</v>
      </c>
      <c r="K13" s="77">
        <f ca="1">-SUM(Ops.!K41:K42)</f>
        <v>-8180029.9890983598</v>
      </c>
      <c r="L13" s="77">
        <f ca="1">-SUM(Ops.!L41:L42)</f>
        <v>-8081157.2324999999</v>
      </c>
      <c r="M13" s="77">
        <f ca="1">-SUM(Ops.!M41:M42)</f>
        <v>-7960497.238499999</v>
      </c>
      <c r="N13" s="77">
        <f ca="1">-SUM(Ops.!N41:N42)</f>
        <v>-8011259.2680000002</v>
      </c>
      <c r="O13" s="76">
        <f ca="1">-SUM(Ops.!O41:O42)</f>
        <v>-7984719.1158811478</v>
      </c>
      <c r="P13" s="77">
        <f ca="1">-SUM(Ops.!P41:P42)</f>
        <v>-7966463.6444999995</v>
      </c>
      <c r="Q13" s="77">
        <f ca="1">-SUM(Ops.!Q41:Q42)</f>
        <v>-7966463.6444999995</v>
      </c>
      <c r="R13" s="77">
        <f ca="1">-SUM(Ops.!R41:R42)</f>
        <v>-8036361.6089999992</v>
      </c>
      <c r="S13" s="77">
        <f ca="1">-SUM(Ops.!S41:S42)</f>
        <v>-8037954.2910860647</v>
      </c>
      <c r="T13" s="76">
        <f ca="1">-SUM(Ops.!T41:T42)</f>
        <v>-8028058.0109999999</v>
      </c>
      <c r="U13" s="77">
        <f ca="1">-SUM(Ops.!U41:U42)</f>
        <v>-8036361.6089999992</v>
      </c>
      <c r="V13" s="77">
        <f ca="1">-SUM(Ops.!V41:V42)</f>
        <v>-7966463.6444999995</v>
      </c>
      <c r="W13" s="77">
        <f ca="1">-SUM(Ops.!W41:W42)</f>
        <v>-7940045.8847950818</v>
      </c>
      <c r="X13" s="77">
        <f ca="1">-SUM(Ops.!X41:X42)</f>
        <v>-7910213.6535</v>
      </c>
      <c r="Y13" s="76">
        <f ca="1">-SUM(Ops.!Y41:Y42)</f>
        <v>-7910213.6535</v>
      </c>
      <c r="Z13" s="77">
        <f ca="1">-SUM(Ops.!Z41:Z42)</f>
        <v>-7918517.2514999993</v>
      </c>
      <c r="AA13" s="77">
        <f ca="1">-SUM(Ops.!AA41:AA42)</f>
        <v>-7850724.9262500005</v>
      </c>
      <c r="AB13" s="77">
        <f ca="1">-SUM(Ops.!AB41:AB42)</f>
        <v>-7857600.7380000008</v>
      </c>
      <c r="AC13" s="77">
        <f ca="1">-SUM(Ops.!AC41:AC42)</f>
        <v>-7857600.7380000008</v>
      </c>
      <c r="AD13" s="76">
        <f ca="1">-SUM(Ops.!AD41:AD42)</f>
        <v>-7857600.7380000008</v>
      </c>
      <c r="AE13" s="77">
        <f ca="1">-SUM(Ops.!AE41:AE42)</f>
        <v>-7857600.7380000008</v>
      </c>
      <c r="AF13" s="77">
        <f ca="1">-SUM(Ops.!AF41:AF42)</f>
        <v>-7857600.7380000008</v>
      </c>
      <c r="AG13" s="77">
        <f ca="1">-SUM(Ops.!AG41:AG42)</f>
        <v>-7857600.7380000008</v>
      </c>
      <c r="AH13" s="77">
        <f ca="1">-SUM(Ops.!AH41:AH42)</f>
        <v>-7857600.7380000008</v>
      </c>
      <c r="AI13" s="76">
        <f ca="1">-SUM(Ops.!AI41:AI42)</f>
        <v>-7857600.7380000008</v>
      </c>
      <c r="AJ13" s="77">
        <f ca="1">-SUM(Ops.!AJ41:AJ42)</f>
        <v>-7857600.7380000008</v>
      </c>
      <c r="AK13" s="77">
        <f ca="1">-SUM(Ops.!AK41:AK42)</f>
        <v>-7857600.7380000008</v>
      </c>
      <c r="AL13" s="77">
        <f ca="1">-SUM(Ops.!AL41:AL42)</f>
        <v>-7857600.7380000008</v>
      </c>
      <c r="AM13" s="77">
        <f ca="1">-SUM(Ops.!AM41:AM42)</f>
        <v>-7857600.7380000008</v>
      </c>
      <c r="AN13" s="76">
        <f ca="1">-SUM(Ops.!AN41:AN42)</f>
        <v>-7857600.7380000008</v>
      </c>
      <c r="AO13" s="77">
        <f ca="1">-SUM(Ops.!AO41:AO42)</f>
        <v>-7857600.7380000008</v>
      </c>
      <c r="AP13" s="77">
        <f ca="1">-SUM(Ops.!AP41:AP42)</f>
        <v>-7857600.7380000008</v>
      </c>
      <c r="AQ13" s="77">
        <f ca="1">-SUM(Ops.!AQ41:AQ42)</f>
        <v>-7857600.7380000008</v>
      </c>
    </row>
    <row r="14" spans="2:43" ht="12.75" customHeight="1" x14ac:dyDescent="0.15">
      <c r="D14" s="77" t="s">
        <v>254</v>
      </c>
      <c r="J14" s="76">
        <f ca="1">-Ops.!J44</f>
        <v>-87870234.751215398</v>
      </c>
      <c r="K14" s="77">
        <f ca="1">-Ops.!K44</f>
        <v>-62382396.611122295</v>
      </c>
      <c r="L14" s="77">
        <f ca="1">-Ops.!L44</f>
        <v>-50516978.976923086</v>
      </c>
      <c r="M14" s="77">
        <f ca="1">-Ops.!M44</f>
        <v>-45332898.394847721</v>
      </c>
      <c r="N14" s="77">
        <f ca="1">-Ops.!N44</f>
        <v>-50051936.905631222</v>
      </c>
      <c r="O14" s="76">
        <f ca="1">-Ops.!O44</f>
        <v>-50505555.257930093</v>
      </c>
      <c r="P14" s="77">
        <f ca="1">-Ops.!P44</f>
        <v>-51169748.988661766</v>
      </c>
      <c r="Q14" s="77">
        <f ca="1">-Ops.!Q44</f>
        <v>-52323953.853067666</v>
      </c>
      <c r="R14" s="77">
        <f ca="1">-Ops.!R44</f>
        <v>-55406000.356440522</v>
      </c>
      <c r="S14" s="77">
        <f ca="1">-Ops.!S44</f>
        <v>-56700071.4477228</v>
      </c>
      <c r="T14" s="76">
        <f ca="1">-Ops.!T44</f>
        <v>-57697475.042858288</v>
      </c>
      <c r="U14" s="77">
        <f ca="1">-Ops.!U44</f>
        <v>-59240484.627509661</v>
      </c>
      <c r="V14" s="77">
        <f ca="1">-Ops.!V44</f>
        <v>-58497444.086324416</v>
      </c>
      <c r="W14" s="77">
        <f ca="1">-Ops.!W44</f>
        <v>-59013345.864108272</v>
      </c>
      <c r="X14" s="77">
        <f ca="1">-Ops.!X44</f>
        <v>-59416552.457412049</v>
      </c>
      <c r="Y14" s="76">
        <f ca="1">-Ops.!Y44</f>
        <v>-60756775.445173241</v>
      </c>
      <c r="Z14" s="77">
        <f ca="1">-Ops.!Z44</f>
        <v>-62397292.814401276</v>
      </c>
      <c r="AA14" s="77">
        <f ca="1">-Ops.!AA44</f>
        <v>-61550159.196262844</v>
      </c>
      <c r="AB14" s="77">
        <f ca="1">-Ops.!AB44</f>
        <v>-63172337.748285547</v>
      </c>
      <c r="AC14" s="77">
        <f ca="1">-Ops.!AC44</f>
        <v>-64597277.697494999</v>
      </c>
      <c r="AD14" s="76">
        <f ca="1">-Ops.!AD44</f>
        <v>-66054359.149318181</v>
      </c>
      <c r="AE14" s="77">
        <f ca="1">-Ops.!AE44</f>
        <v>-67544307.100054696</v>
      </c>
      <c r="AF14" s="77">
        <f ca="1">-Ops.!AF44</f>
        <v>-69067862.899304032</v>
      </c>
      <c r="AG14" s="77">
        <f ca="1">-Ops.!AG44</f>
        <v>-70625784.618837193</v>
      </c>
      <c r="AH14" s="77">
        <f ca="1">-Ops.!AH44</f>
        <v>-72218847.429788411</v>
      </c>
      <c r="AI14" s="76">
        <f ca="1">-Ops.!AI44</f>
        <v>-73847843.98835507</v>
      </c>
      <c r="AJ14" s="77">
        <f ca="1">-Ops.!AJ44</f>
        <v>-75513584.830197647</v>
      </c>
      <c r="AK14" s="77">
        <f ca="1">-Ops.!AK44</f>
        <v>-77216898.773735955</v>
      </c>
      <c r="AL14" s="77">
        <f ca="1">-Ops.!AL44</f>
        <v>-78958633.332542017</v>
      </c>
      <c r="AM14" s="77">
        <f ca="1">-Ops.!AM44</f>
        <v>-80739655.137035444</v>
      </c>
      <c r="AN14" s="76">
        <f ca="1">-Ops.!AN44</f>
        <v>-82560850.365690395</v>
      </c>
      <c r="AO14" s="77">
        <f ca="1">-Ops.!AO44</f>
        <v>-84423125.185969114</v>
      </c>
      <c r="AP14" s="77">
        <f ca="1">-Ops.!AP44</f>
        <v>-86327406.205201462</v>
      </c>
      <c r="AQ14" s="77">
        <f ca="1">-Ops.!AQ44</f>
        <v>-88274640.931634605</v>
      </c>
    </row>
    <row r="15" spans="2:43" ht="12.75" customHeight="1" x14ac:dyDescent="0.15">
      <c r="D15" s="77" t="s">
        <v>255</v>
      </c>
      <c r="J15" s="76">
        <f ca="1">-Ops.!J45</f>
        <v>-37722873.45333904</v>
      </c>
      <c r="K15" s="77">
        <f ca="1">-Ops.!K45</f>
        <v>-38283939.961440288</v>
      </c>
      <c r="L15" s="77">
        <f ca="1">-Ops.!L45</f>
        <v>-38043760.279572651</v>
      </c>
      <c r="M15" s="77">
        <f ca="1">-Ops.!M45</f>
        <v>-37315553.878197156</v>
      </c>
      <c r="N15" s="77">
        <f ca="1">-Ops.!N45</f>
        <v>-39678911.475920595</v>
      </c>
      <c r="O15" s="76">
        <f ca="1">-Ops.!O45</f>
        <v>-40540721.248336092</v>
      </c>
      <c r="P15" s="77">
        <f ca="1">-Ops.!P45</f>
        <v>-41073868.39927762</v>
      </c>
      <c r="Q15" s="77">
        <f ca="1">-Ops.!Q45</f>
        <v>-42000346.633847795</v>
      </c>
      <c r="R15" s="77">
        <f ca="1">-Ops.!R45</f>
        <v>-44474299.994612575</v>
      </c>
      <c r="S15" s="77">
        <f ca="1">-Ops.!S45</f>
        <v>-45513048.605914451</v>
      </c>
      <c r="T15" s="76">
        <f ca="1">-Ops.!T45</f>
        <v>-46313662.734709322</v>
      </c>
      <c r="U15" s="77">
        <f ca="1">-Ops.!U45</f>
        <v>-47552233.841091119</v>
      </c>
      <c r="V15" s="77">
        <f ca="1">-Ops.!V45</f>
        <v>-46955796.492732495</v>
      </c>
      <c r="W15" s="77">
        <f ca="1">-Ops.!W45</f>
        <v>-47369909.951318361</v>
      </c>
      <c r="X15" s="77">
        <f ca="1">-Ops.!X45</f>
        <v>-47693563.181546152</v>
      </c>
      <c r="Y15" s="76">
        <f ca="1">-Ops.!Y45</f>
        <v>-48769357.839779794</v>
      </c>
      <c r="Z15" s="77">
        <f ca="1">-Ops.!Z45</f>
        <v>-50086198.275047876</v>
      </c>
      <c r="AA15" s="77">
        <f ca="1">-Ops.!AA45</f>
        <v>-49406205.595052309</v>
      </c>
      <c r="AB15" s="77">
        <f ca="1">-Ops.!AB45</f>
        <v>-50708325.493694648</v>
      </c>
      <c r="AC15" s="77">
        <f ca="1">-Ops.!AC45</f>
        <v>-51852122.309332237</v>
      </c>
      <c r="AD15" s="76">
        <f ca="1">-Ops.!AD45</f>
        <v>-53021719.053169504</v>
      </c>
      <c r="AE15" s="77">
        <f ca="1">-Ops.!AE45</f>
        <v>-54217697.678424105</v>
      </c>
      <c r="AF15" s="77">
        <f ca="1">-Ops.!AF45</f>
        <v>-55440653.265171699</v>
      </c>
      <c r="AG15" s="77">
        <f ca="1">-Ops.!AG45</f>
        <v>-56691194.316259272</v>
      </c>
      <c r="AH15" s="77">
        <f ca="1">-Ops.!AH45</f>
        <v>-57969943.060227714</v>
      </c>
      <c r="AI15" s="76">
        <f ca="1">-Ops.!AI45</f>
        <v>-59277535.760843344</v>
      </c>
      <c r="AJ15" s="77">
        <f ca="1">-Ops.!AJ45</f>
        <v>-60614623.033608273</v>
      </c>
      <c r="AK15" s="77">
        <f ca="1">-Ops.!AK45</f>
        <v>-61981870.169707164</v>
      </c>
      <c r="AL15" s="77">
        <f ca="1">-Ops.!AL45</f>
        <v>-63379957.46678634</v>
      </c>
      <c r="AM15" s="77">
        <f ca="1">-Ops.!AM45</f>
        <v>-64809580.567557432</v>
      </c>
      <c r="AN15" s="76">
        <f ca="1">-Ops.!AN45</f>
        <v>-66271450.805912629</v>
      </c>
      <c r="AO15" s="77">
        <f ca="1">-Ops.!AO45</f>
        <v>-67766295.560936511</v>
      </c>
      <c r="AP15" s="77">
        <f ca="1">-Ops.!AP45</f>
        <v>-69294858.618707001</v>
      </c>
      <c r="AQ15" s="77">
        <f ca="1">-Ops.!AQ45</f>
        <v>-70857900.542441398</v>
      </c>
    </row>
    <row r="16" spans="2:43" ht="12.75" customHeight="1" x14ac:dyDescent="0.15">
      <c r="D16" s="77" t="s">
        <v>268</v>
      </c>
      <c r="J16" s="76">
        <f t="shared" ref="J16:AQ16" ca="1" si="1">SUM(J13:J15)</f>
        <v>-133816997.42255443</v>
      </c>
      <c r="K16" s="77">
        <f t="shared" ca="1" si="1"/>
        <v>-108846366.56166095</v>
      </c>
      <c r="L16" s="77">
        <f t="shared" ca="1" si="1"/>
        <v>-96641896.488995731</v>
      </c>
      <c r="M16" s="77">
        <f t="shared" ca="1" si="1"/>
        <v>-90608949.511544883</v>
      </c>
      <c r="N16" s="77">
        <f t="shared" ca="1" si="1"/>
        <v>-97742107.649551809</v>
      </c>
      <c r="O16" s="76">
        <f t="shared" ca="1" si="1"/>
        <v>-99030995.622147322</v>
      </c>
      <c r="P16" s="77">
        <f t="shared" ca="1" si="1"/>
        <v>-100210081.03243938</v>
      </c>
      <c r="Q16" s="77">
        <f t="shared" ca="1" si="1"/>
        <v>-102290764.13141546</v>
      </c>
      <c r="R16" s="77">
        <f t="shared" ca="1" si="1"/>
        <v>-107916661.96005309</v>
      </c>
      <c r="S16" s="77">
        <f t="shared" ca="1" si="1"/>
        <v>-110251074.34472331</v>
      </c>
      <c r="T16" s="76">
        <f t="shared" ca="1" si="1"/>
        <v>-112039195.7885676</v>
      </c>
      <c r="U16" s="77">
        <f t="shared" ca="1" si="1"/>
        <v>-114829080.07760078</v>
      </c>
      <c r="V16" s="77">
        <f t="shared" ca="1" si="1"/>
        <v>-113419704.22355691</v>
      </c>
      <c r="W16" s="77">
        <f t="shared" ca="1" si="1"/>
        <v>-114323301.70022172</v>
      </c>
      <c r="X16" s="77">
        <f t="shared" ca="1" si="1"/>
        <v>-115020329.29245821</v>
      </c>
      <c r="Y16" s="76">
        <f t="shared" ca="1" si="1"/>
        <v>-117436346.93845303</v>
      </c>
      <c r="Z16" s="77">
        <f t="shared" ca="1" si="1"/>
        <v>-120402008.34094915</v>
      </c>
      <c r="AA16" s="77">
        <f t="shared" ca="1" si="1"/>
        <v>-118807089.71756515</v>
      </c>
      <c r="AB16" s="77">
        <f t="shared" ca="1" si="1"/>
        <v>-121738263.9799802</v>
      </c>
      <c r="AC16" s="77">
        <f t="shared" ca="1" si="1"/>
        <v>-124307000.74482724</v>
      </c>
      <c r="AD16" s="76">
        <f t="shared" ca="1" si="1"/>
        <v>-126933678.94048768</v>
      </c>
      <c r="AE16" s="77">
        <f t="shared" ca="1" si="1"/>
        <v>-129619605.51647881</v>
      </c>
      <c r="AF16" s="77">
        <f t="shared" ca="1" si="1"/>
        <v>-132366116.90247574</v>
      </c>
      <c r="AG16" s="77">
        <f t="shared" ca="1" si="1"/>
        <v>-135174579.67309648</v>
      </c>
      <c r="AH16" s="77">
        <f t="shared" ca="1" si="1"/>
        <v>-138046391.22801614</v>
      </c>
      <c r="AI16" s="76">
        <f t="shared" ca="1" si="1"/>
        <v>-140982980.48719841</v>
      </c>
      <c r="AJ16" s="77">
        <f t="shared" ca="1" si="1"/>
        <v>-143985808.60180593</v>
      </c>
      <c r="AK16" s="77">
        <f t="shared" ca="1" si="1"/>
        <v>-147056369.68144313</v>
      </c>
      <c r="AL16" s="77">
        <f t="shared" ca="1" si="1"/>
        <v>-150196191.53732836</v>
      </c>
      <c r="AM16" s="77">
        <f t="shared" ca="1" si="1"/>
        <v>-153406836.44259289</v>
      </c>
      <c r="AN16" s="76">
        <f t="shared" ca="1" si="1"/>
        <v>-156689901.90960303</v>
      </c>
      <c r="AO16" s="77">
        <f t="shared" ca="1" si="1"/>
        <v>-160047021.48490563</v>
      </c>
      <c r="AP16" s="77">
        <f t="shared" ca="1" si="1"/>
        <v>-163479865.56190848</v>
      </c>
      <c r="AQ16" s="77">
        <f t="shared" ca="1" si="1"/>
        <v>-166990142.21207601</v>
      </c>
    </row>
    <row r="17" spans="2:43" ht="12.75" customHeight="1" x14ac:dyDescent="0.15">
      <c r="J17" s="76"/>
      <c r="O17" s="76"/>
      <c r="T17" s="76"/>
      <c r="Y17" s="76"/>
      <c r="AD17" s="76"/>
      <c r="AI17" s="76"/>
      <c r="AN17" s="76"/>
    </row>
    <row r="18" spans="2:43" ht="12.75" customHeight="1" x14ac:dyDescent="0.15">
      <c r="C18" s="77" t="s">
        <v>269</v>
      </c>
      <c r="J18" s="76">
        <f t="shared" ref="J18:AQ18" ca="1" si="2">SUM(J10,J16)</f>
        <v>6933912.2628454268</v>
      </c>
      <c r="K18" s="77">
        <f t="shared" ca="1" si="2"/>
        <v>3969368.2057242095</v>
      </c>
      <c r="L18" s="77">
        <f t="shared" ca="1" si="2"/>
        <v>2359097.724109903</v>
      </c>
      <c r="M18" s="77">
        <f t="shared" ca="1" si="2"/>
        <v>1551790.8968338072</v>
      </c>
      <c r="N18" s="77">
        <f t="shared" ca="1" si="2"/>
        <v>2066019.6789100766</v>
      </c>
      <c r="O18" s="76">
        <f t="shared" ca="1" si="2"/>
        <v>1987111.6865664423</v>
      </c>
      <c r="P18" s="77">
        <f t="shared" ca="1" si="2"/>
        <v>1880639.2849310935</v>
      </c>
      <c r="Q18" s="77">
        <f t="shared" ca="1" si="2"/>
        <v>1841770.5923024118</v>
      </c>
      <c r="R18" s="77">
        <f t="shared" ca="1" si="2"/>
        <v>2073942.9938557297</v>
      </c>
      <c r="S18" s="77">
        <f t="shared" ca="1" si="2"/>
        <v>2027089.2394685149</v>
      </c>
      <c r="T18" s="76">
        <f t="shared" ca="1" si="2"/>
        <v>1928405.3080413491</v>
      </c>
      <c r="U18" s="77">
        <f t="shared" ca="1" si="2"/>
        <v>1893829.8243059218</v>
      </c>
      <c r="V18" s="77">
        <f t="shared" ca="1" si="2"/>
        <v>1551028.3534577936</v>
      </c>
      <c r="W18" s="77">
        <f t="shared" ca="1" si="2"/>
        <v>1371421.2489845902</v>
      </c>
      <c r="X18" s="77">
        <f t="shared" ca="1" si="2"/>
        <v>1173660.7417279184</v>
      </c>
      <c r="Y18" s="76">
        <f t="shared" ca="1" si="2"/>
        <v>1081522.8964203596</v>
      </c>
      <c r="Z18" s="77">
        <f t="shared" ca="1" si="2"/>
        <v>1011713.6383112073</v>
      </c>
      <c r="AA18" s="77">
        <f t="shared" ca="1" si="2"/>
        <v>658851.75867775083</v>
      </c>
      <c r="AB18" s="77">
        <f t="shared" ca="1" si="2"/>
        <v>569712.89039221406</v>
      </c>
      <c r="AC18" s="77">
        <f t="shared" ca="1" si="2"/>
        <v>447135.6629422605</v>
      </c>
      <c r="AD18" s="76">
        <f t="shared" ca="1" si="2"/>
        <v>315540.1954562068</v>
      </c>
      <c r="AE18" s="77">
        <f t="shared" ca="1" si="2"/>
        <v>174598.00217878819</v>
      </c>
      <c r="AF18" s="77">
        <f t="shared" ca="1" si="2"/>
        <v>23970.686572238803</v>
      </c>
      <c r="AG18" s="77">
        <f t="shared" ca="1" si="2"/>
        <v>-136690.33227446675</v>
      </c>
      <c r="AH18" s="77">
        <f t="shared" ca="1" si="2"/>
        <v>-307744.10038539767</v>
      </c>
      <c r="AI18" s="76">
        <f t="shared" ca="1" si="2"/>
        <v>-489560.41700556874</v>
      </c>
      <c r="AJ18" s="77">
        <f t="shared" ca="1" si="2"/>
        <v>-682520.13024717569</v>
      </c>
      <c r="AK18" s="77">
        <f t="shared" ca="1" si="2"/>
        <v>-887015.44045060873</v>
      </c>
      <c r="AL18" s="77">
        <f t="shared" ca="1" si="2"/>
        <v>-1103450.2114970386</v>
      </c>
      <c r="AM18" s="77">
        <f t="shared" ca="1" si="2"/>
        <v>-1332240.2902276814</v>
      </c>
      <c r="AN18" s="76">
        <f t="shared" ca="1" si="2"/>
        <v>-1573813.8342017233</v>
      </c>
      <c r="AO18" s="77">
        <f t="shared" ca="1" si="2"/>
        <v>-1828611.6479928792</v>
      </c>
      <c r="AP18" s="77">
        <f t="shared" ca="1" si="2"/>
        <v>-2097087.5282523334</v>
      </c>
      <c r="AQ18" s="77">
        <f t="shared" ca="1" si="2"/>
        <v>-2379708.6177423596</v>
      </c>
    </row>
    <row r="19" spans="2:43" ht="12.75" customHeight="1" x14ac:dyDescent="0.15">
      <c r="J19" s="92">
        <f ca="1">IFERROR(J18/J10,0)</f>
        <v>4.9263711888923471E-2</v>
      </c>
      <c r="K19" s="93">
        <f ca="1">IFERROR(K18/K10,0)</f>
        <v>3.5184526466176487E-2</v>
      </c>
      <c r="L19" s="93">
        <f t="shared" ref="L19:AQ19" ca="1" si="3">L18/L10</f>
        <v>2.3829030636114648E-2</v>
      </c>
      <c r="M19" s="93">
        <f t="shared" ca="1" si="3"/>
        <v>1.6837873588662358E-2</v>
      </c>
      <c r="N19" s="93">
        <f t="shared" ca="1" si="3"/>
        <v>2.0699914267612134E-2</v>
      </c>
      <c r="O19" s="92">
        <f t="shared" ca="1" si="3"/>
        <v>1.9670846539361315E-2</v>
      </c>
      <c r="P19" s="93">
        <f t="shared" ca="1" si="3"/>
        <v>1.8421255909300382E-2</v>
      </c>
      <c r="Q19" s="93">
        <f t="shared" ca="1" si="3"/>
        <v>1.7686793058374662E-2</v>
      </c>
      <c r="R19" s="93">
        <f t="shared" ca="1" si="3"/>
        <v>1.8855637667642689E-2</v>
      </c>
      <c r="S19" s="93">
        <f t="shared" ca="1" si="3"/>
        <v>1.8054171664007499E-2</v>
      </c>
      <c r="T19" s="92">
        <f t="shared" ca="1" si="3"/>
        <v>1.6920644898076456E-2</v>
      </c>
      <c r="U19" s="93">
        <f t="shared" ca="1" si="3"/>
        <v>1.622500523588288E-2</v>
      </c>
      <c r="V19" s="93">
        <f t="shared" ca="1" si="3"/>
        <v>1.3490636431483259E-2</v>
      </c>
      <c r="W19" s="93">
        <f t="shared" ca="1" si="3"/>
        <v>1.1853792584703177E-2</v>
      </c>
      <c r="X19" s="93">
        <f t="shared" ca="1" si="3"/>
        <v>1.0100873043283982E-2</v>
      </c>
      <c r="Y19" s="92">
        <f t="shared" ca="1" si="3"/>
        <v>9.1253993843055554E-3</v>
      </c>
      <c r="Z19" s="93">
        <f t="shared" ca="1" si="3"/>
        <v>8.3327783863180321E-3</v>
      </c>
      <c r="AA19" s="93">
        <f t="shared" ca="1" si="3"/>
        <v>5.5149756536156426E-3</v>
      </c>
      <c r="AB19" s="93">
        <f t="shared" ca="1" si="3"/>
        <v>4.6580190840375185E-3</v>
      </c>
      <c r="AC19" s="93">
        <f t="shared" ca="1" si="3"/>
        <v>3.5841349699280477E-3</v>
      </c>
      <c r="AD19" s="92">
        <f t="shared" ca="1" si="3"/>
        <v>2.47970241074019E-3</v>
      </c>
      <c r="AE19" s="93">
        <f t="shared" ca="1" si="3"/>
        <v>1.3451910597355001E-3</v>
      </c>
      <c r="AF19" s="93">
        <f t="shared" ca="1" si="3"/>
        <v>1.810610371876647E-4</v>
      </c>
      <c r="AG19" s="93">
        <f t="shared" ca="1" si="3"/>
        <v>-1.0122368836014176E-3</v>
      </c>
      <c r="AH19" s="93">
        <f t="shared" ca="1" si="3"/>
        <v>-2.2342610937672218E-3</v>
      </c>
      <c r="AI19" s="92">
        <f t="shared" ca="1" si="3"/>
        <v>-3.4845789700398513E-3</v>
      </c>
      <c r="AJ19" s="93">
        <f t="shared" ca="1" si="3"/>
        <v>-4.7627666994022591E-3</v>
      </c>
      <c r="AK19" s="93">
        <f t="shared" ca="1" si="3"/>
        <v>-6.0684091070701968E-3</v>
      </c>
      <c r="AL19" s="93">
        <f t="shared" ca="1" si="3"/>
        <v>-7.4010994880396525E-3</v>
      </c>
      <c r="AM19" s="93">
        <f t="shared" ca="1" si="3"/>
        <v>-8.760439441791416E-3</v>
      </c>
      <c r="AN19" s="92">
        <f t="shared" ca="1" si="3"/>
        <v>-1.0146038710289669E-2</v>
      </c>
      <c r="AO19" s="93">
        <f t="shared" ca="1" si="3"/>
        <v>-1.1557515019129333E-2</v>
      </c>
      <c r="AP19" s="93">
        <f t="shared" ca="1" si="3"/>
        <v>-1.299449392186686E-2</v>
      </c>
      <c r="AQ19" s="93">
        <f t="shared" ca="1" si="3"/>
        <v>-1.4456608647340783E-2</v>
      </c>
    </row>
    <row r="20" spans="2:43" ht="12.75" customHeight="1" x14ac:dyDescent="0.15">
      <c r="C20" s="77" t="s">
        <v>270</v>
      </c>
      <c r="J20" s="76">
        <f>IFERROR(Ass.!$G$13/Ass.!$D$38,0)</f>
        <v>16666666.666666666</v>
      </c>
      <c r="K20" s="77">
        <f>IFERROR(Ass.!$G$13/Ass.!$D$38,0)</f>
        <v>16666666.666666666</v>
      </c>
      <c r="L20" s="77">
        <f>IFERROR(Ass.!$G$13/Ass.!$D$38,0)</f>
        <v>16666666.666666666</v>
      </c>
      <c r="M20" s="77">
        <f>IFERROR(Ass.!$G$13/Ass.!$D$38,0)</f>
        <v>16666666.666666666</v>
      </c>
      <c r="N20" s="77">
        <f>IFERROR(Ass.!$G$13/Ass.!$D$38,0)</f>
        <v>16666666.666666666</v>
      </c>
      <c r="O20" s="76">
        <f>IFERROR(Ass.!$G$13/Ass.!$D$38,0)</f>
        <v>16666666.666666666</v>
      </c>
      <c r="P20" s="77">
        <f>IFERROR(Ass.!$G$13/Ass.!$D$38,0)</f>
        <v>16666666.666666666</v>
      </c>
      <c r="Q20" s="77">
        <f>IFERROR(Ass.!$G$13/Ass.!$D$38,0)</f>
        <v>16666666.666666666</v>
      </c>
      <c r="R20" s="77">
        <f>IFERROR(Ass.!$G$13/Ass.!$D$38,0)</f>
        <v>16666666.666666666</v>
      </c>
      <c r="S20" s="77">
        <f>IFERROR(Ass.!$G$13/Ass.!$D$38,0)</f>
        <v>16666666.666666666</v>
      </c>
      <c r="T20" s="76">
        <f>IFERROR(Ass.!$G$13/Ass.!$D$38,0)</f>
        <v>16666666.666666666</v>
      </c>
      <c r="U20" s="77">
        <f>IFERROR(Ass.!$G$13/Ass.!$D$38,0)</f>
        <v>16666666.666666666</v>
      </c>
      <c r="V20" s="77">
        <f>IFERROR(Ass.!$G$13/Ass.!$D$38,0)</f>
        <v>16666666.666666666</v>
      </c>
      <c r="W20" s="77">
        <f>IFERROR(Ass.!$G$13/Ass.!$D$38,0)</f>
        <v>16666666.666666666</v>
      </c>
      <c r="X20" s="77">
        <f>IFERROR(Ass.!$G$13/Ass.!$D$38,0)</f>
        <v>16666666.666666666</v>
      </c>
      <c r="Y20" s="76">
        <f>IFERROR(Ass.!$G$13/Ass.!$D$38,0)</f>
        <v>16666666.666666666</v>
      </c>
      <c r="Z20" s="77">
        <f>IFERROR(Ass.!$G$13/Ass.!$D$38,0)</f>
        <v>16666666.666666666</v>
      </c>
      <c r="AA20" s="77">
        <f>IFERROR(Ass.!$G$13/Ass.!$D$38,0)</f>
        <v>16666666.666666666</v>
      </c>
      <c r="AB20" s="77">
        <f>IFERROR(Ass.!$G$13/Ass.!$D$38,0)</f>
        <v>16666666.666666666</v>
      </c>
      <c r="AC20" s="77">
        <f>IFERROR(Ass.!$G$13/Ass.!$D$38,0)</f>
        <v>16666666.666666666</v>
      </c>
      <c r="AD20" s="76">
        <f>IFERROR(Ass.!$G$13/Ass.!$D$38,0)</f>
        <v>16666666.666666666</v>
      </c>
      <c r="AE20" s="77">
        <f>IFERROR(Ass.!$G$13/Ass.!$D$38,0)</f>
        <v>16666666.666666666</v>
      </c>
      <c r="AF20" s="77">
        <f>IFERROR(Ass.!$G$13/Ass.!$D$38,0)</f>
        <v>16666666.666666666</v>
      </c>
      <c r="AG20" s="77">
        <f>IFERROR(Ass.!$G$13/Ass.!$D$38,0)</f>
        <v>16666666.666666666</v>
      </c>
      <c r="AH20" s="77">
        <f>IFERROR(Ass.!$G$13/Ass.!$D$38,0)</f>
        <v>16666666.666666666</v>
      </c>
      <c r="AI20" s="76">
        <f>IFERROR(Ass.!$G$13/Ass.!$D$38,0)</f>
        <v>16666666.666666666</v>
      </c>
      <c r="AJ20" s="77">
        <f>IFERROR(Ass.!$G$13/Ass.!$D$38,0)</f>
        <v>16666666.666666666</v>
      </c>
      <c r="AK20" s="77">
        <f>IFERROR(Ass.!$G$13/Ass.!$D$38,0)</f>
        <v>16666666.666666666</v>
      </c>
      <c r="AL20" s="77">
        <f>IFERROR(Ass.!$G$13/Ass.!$D$38,0)</f>
        <v>16666666.666666666</v>
      </c>
      <c r="AM20" s="77">
        <f>IFERROR(Ass.!$G$13/Ass.!$D$38,0)</f>
        <v>16666666.666666666</v>
      </c>
      <c r="AN20" s="76">
        <f>IFERROR(Ass.!$G$13/Ass.!$D$38,0)</f>
        <v>16666666.666666666</v>
      </c>
      <c r="AO20" s="77">
        <f>IFERROR(Ass.!$G$13/Ass.!$D$38,0)</f>
        <v>16666666.666666666</v>
      </c>
      <c r="AP20" s="77">
        <f>IFERROR(Ass.!$G$13/Ass.!$D$38,0)</f>
        <v>16666666.666666666</v>
      </c>
      <c r="AQ20" s="77">
        <f>IFERROR(Ass.!$G$13/Ass.!$D$38,0)</f>
        <v>16666666.666666666</v>
      </c>
    </row>
    <row r="21" spans="2:43" ht="12.75" customHeight="1" x14ac:dyDescent="0.15">
      <c r="C21" s="77" t="s">
        <v>271</v>
      </c>
      <c r="J21" s="76">
        <f>Financ.!J20</f>
        <v>0</v>
      </c>
      <c r="K21" s="77">
        <f>Financ.!K20</f>
        <v>0</v>
      </c>
      <c r="L21" s="77">
        <f>Financ.!L20</f>
        <v>0</v>
      </c>
      <c r="M21" s="77">
        <f ca="1">Financ.!M20</f>
        <v>0</v>
      </c>
      <c r="N21" s="77">
        <f ca="1">Financ.!N20</f>
        <v>0</v>
      </c>
      <c r="O21" s="76">
        <f ca="1">Financ.!O20</f>
        <v>0</v>
      </c>
      <c r="P21" s="77">
        <f ca="1">Financ.!P20</f>
        <v>0</v>
      </c>
      <c r="Q21" s="77">
        <f ca="1">Financ.!Q20</f>
        <v>0</v>
      </c>
      <c r="R21" s="77">
        <f ca="1">Financ.!R20</f>
        <v>0</v>
      </c>
      <c r="S21" s="77">
        <f ca="1">Financ.!S20</f>
        <v>0</v>
      </c>
      <c r="T21" s="76">
        <f ca="1">Financ.!T20</f>
        <v>0</v>
      </c>
      <c r="U21" s="77">
        <f ca="1">Financ.!U20</f>
        <v>0</v>
      </c>
      <c r="V21" s="77">
        <f ca="1">Financ.!V20</f>
        <v>0</v>
      </c>
      <c r="W21" s="77">
        <f ca="1">Financ.!W20</f>
        <v>0</v>
      </c>
      <c r="X21" s="77">
        <f ca="1">Financ.!X20</f>
        <v>0</v>
      </c>
      <c r="Y21" s="76">
        <f ca="1">Financ.!Y20</f>
        <v>0</v>
      </c>
      <c r="Z21" s="77">
        <f ca="1">Financ.!Z20</f>
        <v>0</v>
      </c>
      <c r="AA21" s="77">
        <f ca="1">Financ.!AA20</f>
        <v>0</v>
      </c>
      <c r="AB21" s="77">
        <f ca="1">Financ.!AB20</f>
        <v>0</v>
      </c>
      <c r="AC21" s="77">
        <f ca="1">Financ.!AC20</f>
        <v>0</v>
      </c>
      <c r="AD21" s="76">
        <f ca="1">Financ.!AD20</f>
        <v>0</v>
      </c>
      <c r="AE21" s="77">
        <f ca="1">Financ.!AE20</f>
        <v>0</v>
      </c>
      <c r="AF21" s="77">
        <f ca="1">Financ.!AF20</f>
        <v>0</v>
      </c>
      <c r="AG21" s="77">
        <f ca="1">Financ.!AG20</f>
        <v>0</v>
      </c>
      <c r="AH21" s="77">
        <f ca="1">Financ.!AH20</f>
        <v>0</v>
      </c>
      <c r="AI21" s="76">
        <f ca="1">Financ.!AI20</f>
        <v>0</v>
      </c>
      <c r="AJ21" s="77">
        <f ca="1">Financ.!AJ20</f>
        <v>0</v>
      </c>
      <c r="AK21" s="77">
        <f ca="1">Financ.!AK20</f>
        <v>0</v>
      </c>
      <c r="AL21" s="77">
        <f ca="1">Financ.!AL20</f>
        <v>0</v>
      </c>
      <c r="AM21" s="77">
        <f ca="1">Financ.!AM20</f>
        <v>0</v>
      </c>
      <c r="AN21" s="76">
        <f ca="1">Financ.!AN20</f>
        <v>0</v>
      </c>
      <c r="AO21" s="77">
        <f ca="1">Financ.!AO20</f>
        <v>0</v>
      </c>
      <c r="AP21" s="77">
        <f ca="1">Financ.!AP20</f>
        <v>0</v>
      </c>
      <c r="AQ21" s="77">
        <f ca="1">Financ.!AQ20</f>
        <v>0</v>
      </c>
    </row>
    <row r="22" spans="2:43" ht="12.75" customHeight="1" x14ac:dyDescent="0.15">
      <c r="C22" s="77" t="s">
        <v>272</v>
      </c>
      <c r="J22" s="76">
        <f t="shared" ref="J22:AQ22" ca="1" si="4">J18-SUM(J20:J21)</f>
        <v>-9732754.4038212392</v>
      </c>
      <c r="K22" s="77">
        <f t="shared" ca="1" si="4"/>
        <v>-12697298.460942456</v>
      </c>
      <c r="L22" s="77">
        <f t="shared" ca="1" si="4"/>
        <v>-14307568.942556763</v>
      </c>
      <c r="M22" s="77">
        <f t="shared" ca="1" si="4"/>
        <v>-15114875.769832859</v>
      </c>
      <c r="N22" s="77">
        <f t="shared" ca="1" si="4"/>
        <v>-14600646.987756589</v>
      </c>
      <c r="O22" s="76">
        <f t="shared" ca="1" si="4"/>
        <v>-14679554.980100224</v>
      </c>
      <c r="P22" s="77">
        <f t="shared" ca="1" si="4"/>
        <v>-14786027.381735573</v>
      </c>
      <c r="Q22" s="77">
        <f t="shared" ca="1" si="4"/>
        <v>-14824896.074364254</v>
      </c>
      <c r="R22" s="77">
        <f t="shared" ca="1" si="4"/>
        <v>-14592723.672810936</v>
      </c>
      <c r="S22" s="77">
        <f t="shared" ca="1" si="4"/>
        <v>-14639577.427198151</v>
      </c>
      <c r="T22" s="76">
        <f t="shared" ca="1" si="4"/>
        <v>-14738261.358625317</v>
      </c>
      <c r="U22" s="77">
        <f t="shared" ca="1" si="4"/>
        <v>-14772836.842360744</v>
      </c>
      <c r="V22" s="77">
        <f t="shared" ca="1" si="4"/>
        <v>-15115638.313208872</v>
      </c>
      <c r="W22" s="77">
        <f t="shared" ca="1" si="4"/>
        <v>-15295245.417682076</v>
      </c>
      <c r="X22" s="77">
        <f t="shared" ca="1" si="4"/>
        <v>-15493005.924938748</v>
      </c>
      <c r="Y22" s="76">
        <f t="shared" ca="1" si="4"/>
        <v>-15585143.770246306</v>
      </c>
      <c r="Z22" s="77">
        <f t="shared" ca="1" si="4"/>
        <v>-15654953.028355459</v>
      </c>
      <c r="AA22" s="77">
        <f t="shared" ca="1" si="4"/>
        <v>-16007814.907988915</v>
      </c>
      <c r="AB22" s="77">
        <f t="shared" ca="1" si="4"/>
        <v>-16096953.776274452</v>
      </c>
      <c r="AC22" s="77">
        <f t="shared" ca="1" si="4"/>
        <v>-16219531.003724406</v>
      </c>
      <c r="AD22" s="76">
        <f t="shared" ca="1" si="4"/>
        <v>-16351126.471210459</v>
      </c>
      <c r="AE22" s="77">
        <f t="shared" ca="1" si="4"/>
        <v>-16492068.664487878</v>
      </c>
      <c r="AF22" s="77">
        <f t="shared" ca="1" si="4"/>
        <v>-16642695.980094427</v>
      </c>
      <c r="AG22" s="77">
        <f t="shared" ca="1" si="4"/>
        <v>-16803356.998941131</v>
      </c>
      <c r="AH22" s="77">
        <f t="shared" ca="1" si="4"/>
        <v>-16974410.767052062</v>
      </c>
      <c r="AI22" s="76">
        <f t="shared" ca="1" si="4"/>
        <v>-17156227.083672233</v>
      </c>
      <c r="AJ22" s="77">
        <f t="shared" ca="1" si="4"/>
        <v>-17349186.79691384</v>
      </c>
      <c r="AK22" s="77">
        <f t="shared" ca="1" si="4"/>
        <v>-17553682.107117273</v>
      </c>
      <c r="AL22" s="77">
        <f t="shared" ca="1" si="4"/>
        <v>-17770116.878163703</v>
      </c>
      <c r="AM22" s="77">
        <f t="shared" ca="1" si="4"/>
        <v>-17998906.956894346</v>
      </c>
      <c r="AN22" s="76">
        <f t="shared" ca="1" si="4"/>
        <v>-18240480.500868388</v>
      </c>
      <c r="AO22" s="77">
        <f t="shared" ca="1" si="4"/>
        <v>-18495278.314659543</v>
      </c>
      <c r="AP22" s="77">
        <f t="shared" ca="1" si="4"/>
        <v>-18763754.194918998</v>
      </c>
      <c r="AQ22" s="77">
        <f t="shared" ca="1" si="4"/>
        <v>-19046375.284409024</v>
      </c>
    </row>
    <row r="23" spans="2:43" ht="12.75" customHeight="1" x14ac:dyDescent="0.15">
      <c r="C23" s="77" t="s">
        <v>273</v>
      </c>
      <c r="J23" s="76">
        <f ca="1">J68*Ass.!$D$37</f>
        <v>0</v>
      </c>
      <c r="K23" s="77">
        <f ca="1">K68*Ass.!$D$37</f>
        <v>0</v>
      </c>
      <c r="L23" s="77">
        <f ca="1">L68*Ass.!$D$37</f>
        <v>0</v>
      </c>
      <c r="M23" s="77">
        <f ca="1">M68*Ass.!$D$37</f>
        <v>0</v>
      </c>
      <c r="N23" s="77">
        <f ca="1">N68*Ass.!$D$37</f>
        <v>0</v>
      </c>
      <c r="O23" s="76">
        <f ca="1">O68*Ass.!$D$37</f>
        <v>0</v>
      </c>
      <c r="P23" s="77">
        <f ca="1">P68*Ass.!$D$37</f>
        <v>0</v>
      </c>
      <c r="Q23" s="77">
        <f ca="1">Q68*Ass.!$D$37</f>
        <v>0</v>
      </c>
      <c r="R23" s="77">
        <f ca="1">R68*Ass.!$D$37</f>
        <v>0</v>
      </c>
      <c r="S23" s="77">
        <f ca="1">S68*Ass.!$D$37</f>
        <v>0</v>
      </c>
      <c r="T23" s="76">
        <f ca="1">T68*Ass.!$D$37</f>
        <v>0</v>
      </c>
      <c r="U23" s="77">
        <f ca="1">U68*Ass.!$D$37</f>
        <v>0</v>
      </c>
      <c r="V23" s="77">
        <f ca="1">V68*Ass.!$D$37</f>
        <v>0</v>
      </c>
      <c r="W23" s="77">
        <f ca="1">W68*Ass.!$D$37</f>
        <v>0</v>
      </c>
      <c r="X23" s="77">
        <f ca="1">X68*Ass.!$D$37</f>
        <v>0</v>
      </c>
      <c r="Y23" s="76">
        <f ca="1">Y68*Ass.!$D$37</f>
        <v>0</v>
      </c>
      <c r="Z23" s="77">
        <f ca="1">Z68*Ass.!$D$37</f>
        <v>0</v>
      </c>
      <c r="AA23" s="77">
        <f ca="1">AA68*Ass.!$D$37</f>
        <v>0</v>
      </c>
      <c r="AB23" s="77">
        <f ca="1">AB68*Ass.!$D$37</f>
        <v>0</v>
      </c>
      <c r="AC23" s="77">
        <f ca="1">AC68*Ass.!$D$37</f>
        <v>0</v>
      </c>
      <c r="AD23" s="76">
        <f ca="1">AD68*Ass.!$D$37</f>
        <v>0</v>
      </c>
      <c r="AE23" s="77">
        <f ca="1">AE68*Ass.!$D$37</f>
        <v>0</v>
      </c>
      <c r="AF23" s="77">
        <f ca="1">AF68*Ass.!$D$37</f>
        <v>0</v>
      </c>
      <c r="AG23" s="77">
        <f ca="1">AG68*Ass.!$D$37</f>
        <v>0</v>
      </c>
      <c r="AH23" s="77">
        <f ca="1">AH68*Ass.!$D$37</f>
        <v>0</v>
      </c>
      <c r="AI23" s="76">
        <f ca="1">AI68*Ass.!$D$37</f>
        <v>0</v>
      </c>
      <c r="AJ23" s="77">
        <f ca="1">AJ68*Ass.!$D$37</f>
        <v>0</v>
      </c>
      <c r="AK23" s="77">
        <f ca="1">AK68*Ass.!$D$37</f>
        <v>0</v>
      </c>
      <c r="AL23" s="77">
        <f ca="1">AL68*Ass.!$D$37</f>
        <v>0</v>
      </c>
      <c r="AM23" s="77">
        <f ca="1">AM68*Ass.!$D$37</f>
        <v>0</v>
      </c>
      <c r="AN23" s="76">
        <f ca="1">AN68*Ass.!$D$37</f>
        <v>0</v>
      </c>
      <c r="AO23" s="77">
        <f ca="1">AO68*Ass.!$D$37</f>
        <v>0</v>
      </c>
      <c r="AP23" s="77">
        <f ca="1">AP68*Ass.!$D$37</f>
        <v>0</v>
      </c>
      <c r="AQ23" s="77">
        <f ca="1">AQ68*Ass.!$D$37</f>
        <v>0</v>
      </c>
    </row>
    <row r="24" spans="2:43" ht="12.75" customHeight="1" x14ac:dyDescent="0.15">
      <c r="J24" s="76"/>
      <c r="O24" s="76"/>
      <c r="T24" s="76"/>
      <c r="Y24" s="76"/>
      <c r="AD24" s="76"/>
      <c r="AI24" s="76"/>
      <c r="AN24" s="76"/>
    </row>
    <row r="25" spans="2:43" ht="12.75" customHeight="1" x14ac:dyDescent="0.15">
      <c r="C25" s="77" t="s">
        <v>274</v>
      </c>
      <c r="J25" s="76">
        <f t="shared" ref="J25:AQ25" ca="1" si="5">J22-J23</f>
        <v>-9732754.4038212392</v>
      </c>
      <c r="K25" s="77">
        <f t="shared" ca="1" si="5"/>
        <v>-12697298.460942456</v>
      </c>
      <c r="L25" s="77">
        <f t="shared" ca="1" si="5"/>
        <v>-14307568.942556763</v>
      </c>
      <c r="M25" s="77">
        <f t="shared" ca="1" si="5"/>
        <v>-15114875.769832859</v>
      </c>
      <c r="N25" s="77">
        <f t="shared" ca="1" si="5"/>
        <v>-14600646.987756589</v>
      </c>
      <c r="O25" s="76">
        <f t="shared" ca="1" si="5"/>
        <v>-14679554.980100224</v>
      </c>
      <c r="P25" s="77">
        <f t="shared" ca="1" si="5"/>
        <v>-14786027.381735573</v>
      </c>
      <c r="Q25" s="77">
        <f t="shared" ca="1" si="5"/>
        <v>-14824896.074364254</v>
      </c>
      <c r="R25" s="77">
        <f t="shared" ca="1" si="5"/>
        <v>-14592723.672810936</v>
      </c>
      <c r="S25" s="77">
        <f t="shared" ca="1" si="5"/>
        <v>-14639577.427198151</v>
      </c>
      <c r="T25" s="76">
        <f t="shared" ca="1" si="5"/>
        <v>-14738261.358625317</v>
      </c>
      <c r="U25" s="77">
        <f t="shared" ca="1" si="5"/>
        <v>-14772836.842360744</v>
      </c>
      <c r="V25" s="77">
        <f t="shared" ca="1" si="5"/>
        <v>-15115638.313208872</v>
      </c>
      <c r="W25" s="77">
        <f t="shared" ca="1" si="5"/>
        <v>-15295245.417682076</v>
      </c>
      <c r="X25" s="77">
        <f t="shared" ca="1" si="5"/>
        <v>-15493005.924938748</v>
      </c>
      <c r="Y25" s="76">
        <f t="shared" ca="1" si="5"/>
        <v>-15585143.770246306</v>
      </c>
      <c r="Z25" s="77">
        <f t="shared" ca="1" si="5"/>
        <v>-15654953.028355459</v>
      </c>
      <c r="AA25" s="77">
        <f t="shared" ca="1" si="5"/>
        <v>-16007814.907988915</v>
      </c>
      <c r="AB25" s="77">
        <f t="shared" ca="1" si="5"/>
        <v>-16096953.776274452</v>
      </c>
      <c r="AC25" s="77">
        <f t="shared" ca="1" si="5"/>
        <v>-16219531.003724406</v>
      </c>
      <c r="AD25" s="76">
        <f t="shared" ca="1" si="5"/>
        <v>-16351126.471210459</v>
      </c>
      <c r="AE25" s="77">
        <f t="shared" ca="1" si="5"/>
        <v>-16492068.664487878</v>
      </c>
      <c r="AF25" s="77">
        <f t="shared" ca="1" si="5"/>
        <v>-16642695.980094427</v>
      </c>
      <c r="AG25" s="77">
        <f t="shared" ca="1" si="5"/>
        <v>-16803356.998941131</v>
      </c>
      <c r="AH25" s="77">
        <f t="shared" ca="1" si="5"/>
        <v>-16974410.767052062</v>
      </c>
      <c r="AI25" s="76">
        <f t="shared" ca="1" si="5"/>
        <v>-17156227.083672233</v>
      </c>
      <c r="AJ25" s="77">
        <f t="shared" ca="1" si="5"/>
        <v>-17349186.79691384</v>
      </c>
      <c r="AK25" s="77">
        <f t="shared" ca="1" si="5"/>
        <v>-17553682.107117273</v>
      </c>
      <c r="AL25" s="77">
        <f t="shared" ca="1" si="5"/>
        <v>-17770116.878163703</v>
      </c>
      <c r="AM25" s="77">
        <f t="shared" ca="1" si="5"/>
        <v>-17998906.956894346</v>
      </c>
      <c r="AN25" s="76">
        <f t="shared" ca="1" si="5"/>
        <v>-18240480.500868388</v>
      </c>
      <c r="AO25" s="77">
        <f t="shared" ca="1" si="5"/>
        <v>-18495278.314659543</v>
      </c>
      <c r="AP25" s="77">
        <f t="shared" ca="1" si="5"/>
        <v>-18763754.194918998</v>
      </c>
      <c r="AQ25" s="77">
        <f t="shared" ca="1" si="5"/>
        <v>-19046375.284409024</v>
      </c>
    </row>
    <row r="26" spans="2:43" ht="12.75" customHeight="1" x14ac:dyDescent="0.15">
      <c r="J26" s="76"/>
      <c r="O26" s="76"/>
      <c r="T26" s="76"/>
      <c r="Y26" s="76"/>
      <c r="AD26" s="76"/>
      <c r="AI26" s="76"/>
      <c r="AN26" s="76"/>
    </row>
    <row r="27" spans="2:43" ht="12.75" customHeight="1" x14ac:dyDescent="0.15">
      <c r="C27" s="77" t="s">
        <v>275</v>
      </c>
      <c r="J27" s="76">
        <f t="shared" ref="J27:AQ27" ca="1" si="6">J25+J20-J23</f>
        <v>6933912.2628454268</v>
      </c>
      <c r="K27" s="77">
        <f t="shared" ca="1" si="6"/>
        <v>3969368.2057242095</v>
      </c>
      <c r="L27" s="77">
        <f t="shared" ca="1" si="6"/>
        <v>2359097.724109903</v>
      </c>
      <c r="M27" s="77">
        <f t="shared" ca="1" si="6"/>
        <v>1551790.8968338072</v>
      </c>
      <c r="N27" s="77">
        <f t="shared" ca="1" si="6"/>
        <v>2066019.6789100766</v>
      </c>
      <c r="O27" s="76">
        <f t="shared" ca="1" si="6"/>
        <v>1987111.6865664423</v>
      </c>
      <c r="P27" s="77">
        <f t="shared" ca="1" si="6"/>
        <v>1880639.2849310935</v>
      </c>
      <c r="Q27" s="77">
        <f t="shared" ca="1" si="6"/>
        <v>1841770.5923024118</v>
      </c>
      <c r="R27" s="77">
        <f t="shared" ca="1" si="6"/>
        <v>2073942.9938557297</v>
      </c>
      <c r="S27" s="77">
        <f t="shared" ca="1" si="6"/>
        <v>2027089.2394685149</v>
      </c>
      <c r="T27" s="76">
        <f t="shared" ca="1" si="6"/>
        <v>1928405.3080413491</v>
      </c>
      <c r="U27" s="77">
        <f t="shared" ca="1" si="6"/>
        <v>1893829.8243059218</v>
      </c>
      <c r="V27" s="77">
        <f t="shared" ca="1" si="6"/>
        <v>1551028.3534577936</v>
      </c>
      <c r="W27" s="77">
        <f t="shared" ca="1" si="6"/>
        <v>1371421.2489845902</v>
      </c>
      <c r="X27" s="77">
        <f t="shared" ca="1" si="6"/>
        <v>1173660.7417279184</v>
      </c>
      <c r="Y27" s="76">
        <f t="shared" ca="1" si="6"/>
        <v>1081522.8964203596</v>
      </c>
      <c r="Z27" s="77">
        <f t="shared" ca="1" si="6"/>
        <v>1011713.6383112073</v>
      </c>
      <c r="AA27" s="77">
        <f t="shared" ca="1" si="6"/>
        <v>658851.75867775083</v>
      </c>
      <c r="AB27" s="77">
        <f t="shared" ca="1" si="6"/>
        <v>569712.89039221406</v>
      </c>
      <c r="AC27" s="77">
        <f t="shared" ca="1" si="6"/>
        <v>447135.6629422605</v>
      </c>
      <c r="AD27" s="76">
        <f t="shared" ca="1" si="6"/>
        <v>315540.1954562068</v>
      </c>
      <c r="AE27" s="77">
        <f t="shared" ca="1" si="6"/>
        <v>174598.00217878819</v>
      </c>
      <c r="AF27" s="77">
        <f t="shared" ca="1" si="6"/>
        <v>23970.686572238803</v>
      </c>
      <c r="AG27" s="77">
        <f t="shared" ca="1" si="6"/>
        <v>-136690.33227446489</v>
      </c>
      <c r="AH27" s="77">
        <f t="shared" ca="1" si="6"/>
        <v>-307744.10038539581</v>
      </c>
      <c r="AI27" s="76">
        <f t="shared" ca="1" si="6"/>
        <v>-489560.41700556688</v>
      </c>
      <c r="AJ27" s="77">
        <f t="shared" ca="1" si="6"/>
        <v>-682520.13024717383</v>
      </c>
      <c r="AK27" s="77">
        <f t="shared" ca="1" si="6"/>
        <v>-887015.44045060687</v>
      </c>
      <c r="AL27" s="77">
        <f t="shared" ca="1" si="6"/>
        <v>-1103450.2114970367</v>
      </c>
      <c r="AM27" s="77">
        <f t="shared" ca="1" si="6"/>
        <v>-1332240.2902276795</v>
      </c>
      <c r="AN27" s="76">
        <f t="shared" ca="1" si="6"/>
        <v>-1573813.8342017215</v>
      </c>
      <c r="AO27" s="77">
        <f t="shared" ca="1" si="6"/>
        <v>-1828611.6479928773</v>
      </c>
      <c r="AP27" s="77">
        <f t="shared" ca="1" si="6"/>
        <v>-2097087.5282523315</v>
      </c>
      <c r="AQ27" s="77">
        <f t="shared" ca="1" si="6"/>
        <v>-2379708.6177423578</v>
      </c>
    </row>
    <row r="28" spans="2:43" ht="12.75" customHeight="1" x14ac:dyDescent="0.15">
      <c r="J28" s="76"/>
      <c r="O28" s="76"/>
      <c r="T28" s="76"/>
      <c r="Y28" s="76"/>
      <c r="AD28" s="76"/>
      <c r="AI28" s="76"/>
      <c r="AN28" s="76"/>
    </row>
    <row r="29" spans="2:43" ht="12.75" customHeight="1" x14ac:dyDescent="0.15">
      <c r="B29" s="77" t="s">
        <v>276</v>
      </c>
      <c r="J29" s="76"/>
      <c r="O29" s="76"/>
      <c r="T29" s="76"/>
      <c r="Y29" s="76"/>
      <c r="AD29" s="76"/>
      <c r="AI29" s="76"/>
      <c r="AN29" s="76"/>
    </row>
    <row r="30" spans="2:43" ht="12.75" customHeight="1" x14ac:dyDescent="0.15">
      <c r="J30" s="76"/>
      <c r="O30" s="76"/>
      <c r="T30" s="76"/>
      <c r="Y30" s="76"/>
      <c r="AD30" s="76"/>
      <c r="AI30" s="76"/>
      <c r="AN30" s="76"/>
    </row>
    <row r="31" spans="2:43" ht="12.75" customHeight="1" x14ac:dyDescent="0.15">
      <c r="C31" s="77" t="s">
        <v>277</v>
      </c>
      <c r="J31" s="76"/>
      <c r="O31" s="76"/>
      <c r="T31" s="76"/>
      <c r="Y31" s="76"/>
      <c r="AD31" s="76"/>
      <c r="AI31" s="76"/>
      <c r="AN31" s="76"/>
    </row>
    <row r="32" spans="2:43" ht="12.75" customHeight="1" x14ac:dyDescent="0.15">
      <c r="D32" s="77" t="s">
        <v>251</v>
      </c>
      <c r="J32" s="76">
        <f t="shared" ref="J32:AQ32" ca="1" si="7">J10</f>
        <v>140750909.68539986</v>
      </c>
      <c r="K32" s="77">
        <f t="shared" ca="1" si="7"/>
        <v>112815734.76738515</v>
      </c>
      <c r="L32" s="77">
        <f t="shared" ca="1" si="7"/>
        <v>99000994.213105634</v>
      </c>
      <c r="M32" s="77">
        <f t="shared" ca="1" si="7"/>
        <v>92160740.40837869</v>
      </c>
      <c r="N32" s="77">
        <f t="shared" ca="1" si="7"/>
        <v>99808127.328461885</v>
      </c>
      <c r="O32" s="76">
        <f t="shared" ca="1" si="7"/>
        <v>101018107.30871376</v>
      </c>
      <c r="P32" s="77">
        <f t="shared" ca="1" si="7"/>
        <v>102090720.31737047</v>
      </c>
      <c r="Q32" s="77">
        <f t="shared" ca="1" si="7"/>
        <v>104132534.72371787</v>
      </c>
      <c r="R32" s="77">
        <f t="shared" ca="1" si="7"/>
        <v>109990604.95390882</v>
      </c>
      <c r="S32" s="77">
        <f t="shared" ca="1" si="7"/>
        <v>112278163.58419183</v>
      </c>
      <c r="T32" s="76">
        <f t="shared" ca="1" si="7"/>
        <v>113967601.09660895</v>
      </c>
      <c r="U32" s="77">
        <f t="shared" ca="1" si="7"/>
        <v>116722909.9019067</v>
      </c>
      <c r="V32" s="77">
        <f t="shared" ca="1" si="7"/>
        <v>114970732.5770147</v>
      </c>
      <c r="W32" s="77">
        <f t="shared" ca="1" si="7"/>
        <v>115694722.94920631</v>
      </c>
      <c r="X32" s="77">
        <f t="shared" ca="1" si="7"/>
        <v>116193990.03418612</v>
      </c>
      <c r="Y32" s="76">
        <f t="shared" ca="1" si="7"/>
        <v>118517869.83487339</v>
      </c>
      <c r="Z32" s="77">
        <f t="shared" ca="1" si="7"/>
        <v>121413721.97926036</v>
      </c>
      <c r="AA32" s="77">
        <f t="shared" ca="1" si="7"/>
        <v>119465941.4762429</v>
      </c>
      <c r="AB32" s="77">
        <f t="shared" ca="1" si="7"/>
        <v>122307976.87037241</v>
      </c>
      <c r="AC32" s="77">
        <f t="shared" ca="1" si="7"/>
        <v>124754136.4077695</v>
      </c>
      <c r="AD32" s="76">
        <f t="shared" ca="1" si="7"/>
        <v>127249219.13594389</v>
      </c>
      <c r="AE32" s="77">
        <f t="shared" ca="1" si="7"/>
        <v>129794203.51865759</v>
      </c>
      <c r="AF32" s="77">
        <f t="shared" ca="1" si="7"/>
        <v>132390087.58904798</v>
      </c>
      <c r="AG32" s="77">
        <f t="shared" ca="1" si="7"/>
        <v>135037889.34082201</v>
      </c>
      <c r="AH32" s="77">
        <f t="shared" ca="1" si="7"/>
        <v>137738647.12763074</v>
      </c>
      <c r="AI32" s="76">
        <f t="shared" ca="1" si="7"/>
        <v>140493420.07019284</v>
      </c>
      <c r="AJ32" s="77">
        <f t="shared" ca="1" si="7"/>
        <v>143303288.47155875</v>
      </c>
      <c r="AK32" s="77">
        <f t="shared" ca="1" si="7"/>
        <v>146169354.24099252</v>
      </c>
      <c r="AL32" s="77">
        <f t="shared" ca="1" si="7"/>
        <v>149092741.32583132</v>
      </c>
      <c r="AM32" s="77">
        <f t="shared" ca="1" si="7"/>
        <v>152074596.15236521</v>
      </c>
      <c r="AN32" s="76">
        <f t="shared" ca="1" si="7"/>
        <v>155116088.07540131</v>
      </c>
      <c r="AO32" s="77">
        <f t="shared" ca="1" si="7"/>
        <v>158218409.83691275</v>
      </c>
      <c r="AP32" s="77">
        <f t="shared" ca="1" si="7"/>
        <v>161382778.03365615</v>
      </c>
      <c r="AQ32" s="77">
        <f t="shared" ca="1" si="7"/>
        <v>164610433.59433365</v>
      </c>
    </row>
    <row r="33" spans="2:43" ht="12.75" customHeight="1" x14ac:dyDescent="0.15">
      <c r="D33" s="77" t="s">
        <v>278</v>
      </c>
      <c r="J33" s="76">
        <f ca="1">Financ.!J14</f>
        <v>0</v>
      </c>
      <c r="K33" s="77">
        <f ca="1">Financ.!K14</f>
        <v>0</v>
      </c>
      <c r="L33" s="77">
        <f ca="1">Financ.!L14</f>
        <v>0</v>
      </c>
      <c r="M33" s="77">
        <f ca="1">Financ.!M14</f>
        <v>0</v>
      </c>
      <c r="N33" s="77">
        <f ca="1">Financ.!N14</f>
        <v>0</v>
      </c>
      <c r="O33" s="76">
        <f>Financ.!O14</f>
        <v>0</v>
      </c>
      <c r="P33" s="77">
        <f>Financ.!P14</f>
        <v>0</v>
      </c>
      <c r="Q33" s="77">
        <f>Financ.!Q14</f>
        <v>0</v>
      </c>
      <c r="R33" s="77">
        <f>Financ.!R14</f>
        <v>0</v>
      </c>
      <c r="S33" s="77">
        <f>Financ.!S14</f>
        <v>0</v>
      </c>
      <c r="T33" s="76">
        <f>Financ.!T14</f>
        <v>0</v>
      </c>
      <c r="U33" s="77">
        <f>Financ.!U14</f>
        <v>0</v>
      </c>
      <c r="V33" s="77">
        <f>Financ.!V14</f>
        <v>0</v>
      </c>
      <c r="W33" s="77">
        <f>Financ.!W14</f>
        <v>0</v>
      </c>
      <c r="X33" s="77">
        <f>Financ.!X14</f>
        <v>0</v>
      </c>
      <c r="Y33" s="76">
        <f>Financ.!Y14</f>
        <v>0</v>
      </c>
      <c r="Z33" s="77">
        <f>Financ.!Z14</f>
        <v>0</v>
      </c>
      <c r="AA33" s="77">
        <f>Financ.!AA14</f>
        <v>0</v>
      </c>
      <c r="AB33" s="77">
        <f>Financ.!AB14</f>
        <v>0</v>
      </c>
      <c r="AC33" s="77">
        <f>Financ.!AC14</f>
        <v>0</v>
      </c>
      <c r="AD33" s="76">
        <f>Financ.!AD14</f>
        <v>0</v>
      </c>
      <c r="AE33" s="77">
        <f>Financ.!AE14</f>
        <v>0</v>
      </c>
      <c r="AF33" s="77">
        <f>Financ.!AF14</f>
        <v>0</v>
      </c>
      <c r="AG33" s="77">
        <f>Financ.!AG14</f>
        <v>0</v>
      </c>
      <c r="AH33" s="77">
        <f>Financ.!AH14</f>
        <v>0</v>
      </c>
      <c r="AI33" s="76">
        <f>Financ.!AI14</f>
        <v>0</v>
      </c>
      <c r="AJ33" s="77">
        <f>Financ.!AJ14</f>
        <v>0</v>
      </c>
      <c r="AK33" s="77">
        <f>Financ.!AK14</f>
        <v>0</v>
      </c>
      <c r="AL33" s="77">
        <f>Financ.!AL14</f>
        <v>0</v>
      </c>
      <c r="AM33" s="77">
        <f>Financ.!AM14</f>
        <v>0</v>
      </c>
      <c r="AN33" s="76">
        <f>Financ.!AN14</f>
        <v>0</v>
      </c>
      <c r="AO33" s="77">
        <f>Financ.!AO14</f>
        <v>0</v>
      </c>
      <c r="AP33" s="77">
        <f>Financ.!AP14</f>
        <v>0</v>
      </c>
      <c r="AQ33" s="77">
        <f>Financ.!AQ14</f>
        <v>0</v>
      </c>
    </row>
    <row r="34" spans="2:43" ht="12.75" customHeight="1" x14ac:dyDescent="0.15">
      <c r="D34" s="77" t="s">
        <v>279</v>
      </c>
      <c r="J34" s="76">
        <f ca="1">Financ.!J25</f>
        <v>0</v>
      </c>
      <c r="K34" s="77">
        <f ca="1">Financ.!K25</f>
        <v>0</v>
      </c>
      <c r="L34" s="77">
        <f ca="1">Financ.!L25</f>
        <v>0</v>
      </c>
      <c r="M34" s="77">
        <f ca="1">Financ.!M25</f>
        <v>0</v>
      </c>
      <c r="N34" s="77">
        <f ca="1">Financ.!N25</f>
        <v>0</v>
      </c>
      <c r="O34" s="76">
        <f>Financ.!O25</f>
        <v>0</v>
      </c>
      <c r="P34" s="77">
        <f>Financ.!P25</f>
        <v>0</v>
      </c>
      <c r="Q34" s="77">
        <f>Financ.!Q25</f>
        <v>0</v>
      </c>
      <c r="R34" s="77">
        <f>Financ.!R25</f>
        <v>0</v>
      </c>
      <c r="S34" s="77">
        <f>Financ.!S25</f>
        <v>0</v>
      </c>
      <c r="T34" s="76">
        <f>Financ.!T25</f>
        <v>0</v>
      </c>
      <c r="U34" s="77">
        <f>Financ.!U25</f>
        <v>0</v>
      </c>
      <c r="V34" s="77">
        <f>Financ.!V25</f>
        <v>0</v>
      </c>
      <c r="W34" s="77">
        <f>Financ.!W25</f>
        <v>0</v>
      </c>
      <c r="X34" s="77">
        <f>Financ.!X25</f>
        <v>0</v>
      </c>
      <c r="Y34" s="76">
        <f>Financ.!Y25</f>
        <v>0</v>
      </c>
      <c r="Z34" s="77">
        <f>Financ.!Z25</f>
        <v>0</v>
      </c>
      <c r="AA34" s="77">
        <f>Financ.!AA25</f>
        <v>0</v>
      </c>
      <c r="AB34" s="77">
        <f>Financ.!AB25</f>
        <v>0</v>
      </c>
      <c r="AC34" s="77">
        <f>Financ.!AC25</f>
        <v>0</v>
      </c>
      <c r="AD34" s="76">
        <f>Financ.!AD25</f>
        <v>0</v>
      </c>
      <c r="AE34" s="77">
        <f>Financ.!AE25</f>
        <v>0</v>
      </c>
      <c r="AF34" s="77">
        <f>Financ.!AF25</f>
        <v>0</v>
      </c>
      <c r="AG34" s="77">
        <f>Financ.!AG25</f>
        <v>0</v>
      </c>
      <c r="AH34" s="77">
        <f>Financ.!AH25</f>
        <v>0</v>
      </c>
      <c r="AI34" s="76">
        <f>Financ.!AI25</f>
        <v>0</v>
      </c>
      <c r="AJ34" s="77">
        <f>Financ.!AJ25</f>
        <v>0</v>
      </c>
      <c r="AK34" s="77">
        <f>Financ.!AK25</f>
        <v>0</v>
      </c>
      <c r="AL34" s="77">
        <f>Financ.!AL25</f>
        <v>0</v>
      </c>
      <c r="AM34" s="77">
        <f>Financ.!AM25</f>
        <v>0</v>
      </c>
      <c r="AN34" s="76">
        <f>Financ.!AN25</f>
        <v>0</v>
      </c>
      <c r="AO34" s="77">
        <f>Financ.!AO25</f>
        <v>0</v>
      </c>
      <c r="AP34" s="77">
        <f>Financ.!AP25</f>
        <v>0</v>
      </c>
      <c r="AQ34" s="77">
        <f>Financ.!AQ25</f>
        <v>0</v>
      </c>
    </row>
    <row r="35" spans="2:43" ht="12.75" customHeight="1" x14ac:dyDescent="0.15">
      <c r="J35" s="76"/>
      <c r="O35" s="76"/>
      <c r="T35" s="76"/>
      <c r="Y35" s="76"/>
      <c r="AD35" s="76"/>
      <c r="AI35" s="76"/>
      <c r="AN35" s="76"/>
    </row>
    <row r="36" spans="2:43" ht="12.75" customHeight="1" x14ac:dyDescent="0.15">
      <c r="C36" s="77" t="s">
        <v>280</v>
      </c>
      <c r="J36" s="76"/>
      <c r="O36" s="76"/>
      <c r="T36" s="76"/>
      <c r="Y36" s="76"/>
      <c r="AD36" s="76"/>
      <c r="AI36" s="76"/>
      <c r="AN36" s="76"/>
    </row>
    <row r="37" spans="2:43" ht="12.75" customHeight="1" x14ac:dyDescent="0.15">
      <c r="D37" s="77" t="s">
        <v>281</v>
      </c>
      <c r="J37" s="76">
        <f ca="1">IFERROR('Const.'!I31,0)</f>
        <v>0</v>
      </c>
      <c r="K37" s="77">
        <f ca="1">IFERROR('Const.'!J31,0)</f>
        <v>0</v>
      </c>
      <c r="L37" s="77">
        <f ca="1">IFERROR('Const.'!K31,0)</f>
        <v>0</v>
      </c>
      <c r="M37" s="77">
        <f ca="1">IFERROR('Const.'!L31,0)</f>
        <v>0</v>
      </c>
      <c r="N37" s="77">
        <f ca="1">IFERROR('Const.'!M31,0)</f>
        <v>0</v>
      </c>
      <c r="O37" s="76">
        <f>IFERROR('Const.'!N31,0)</f>
        <v>0</v>
      </c>
      <c r="P37" s="77">
        <f>IFERROR('Const.'!O31,0)</f>
        <v>0</v>
      </c>
      <c r="Q37" s="77">
        <f>IFERROR('Const.'!P31,0)</f>
        <v>0</v>
      </c>
      <c r="R37" s="77">
        <f>IFERROR('Const.'!Q31,0)</f>
        <v>0</v>
      </c>
      <c r="S37" s="77">
        <f>IFERROR('Const.'!R31,0)</f>
        <v>0</v>
      </c>
      <c r="T37" s="76">
        <f>IFERROR('Const.'!S31,0)</f>
        <v>0</v>
      </c>
      <c r="U37" s="77">
        <f>IFERROR('Const.'!T31,0)</f>
        <v>0</v>
      </c>
      <c r="V37" s="77">
        <f>IFERROR('Const.'!U31,0)</f>
        <v>0</v>
      </c>
      <c r="W37" s="77">
        <f>IFERROR('Const.'!V31,0)</f>
        <v>0</v>
      </c>
      <c r="X37" s="77">
        <f>IFERROR('Const.'!W31,0)</f>
        <v>0</v>
      </c>
      <c r="Y37" s="76">
        <f>IFERROR('Const.'!X31,0)</f>
        <v>0</v>
      </c>
      <c r="Z37" s="77">
        <f>IFERROR('Const.'!Y31,0)</f>
        <v>0</v>
      </c>
      <c r="AA37" s="77">
        <f>IFERROR('Const.'!Z31,0)</f>
        <v>0</v>
      </c>
      <c r="AB37" s="77">
        <f>IFERROR('Const.'!AA31,0)</f>
        <v>0</v>
      </c>
      <c r="AC37" s="77">
        <f>IFERROR('Const.'!AB31,0)</f>
        <v>0</v>
      </c>
      <c r="AD37" s="76">
        <f>IFERROR('Const.'!AC31,0)</f>
        <v>0</v>
      </c>
      <c r="AE37" s="77">
        <f>IFERROR('Const.'!AD31,0)</f>
        <v>0</v>
      </c>
      <c r="AF37" s="77">
        <f>IFERROR('Const.'!AE31,0)</f>
        <v>0</v>
      </c>
      <c r="AG37" s="77">
        <f>IFERROR('Const.'!AF31,0)</f>
        <v>0</v>
      </c>
      <c r="AH37" s="77">
        <f>IFERROR('Const.'!AG31,0)</f>
        <v>0</v>
      </c>
      <c r="AI37" s="76">
        <f>IFERROR('Const.'!AH31,0)</f>
        <v>0</v>
      </c>
      <c r="AJ37" s="77">
        <f>IFERROR('Const.'!AI31,0)</f>
        <v>0</v>
      </c>
      <c r="AK37" s="77">
        <f>IFERROR('Const.'!AJ31,0)</f>
        <v>0</v>
      </c>
      <c r="AL37" s="77">
        <f>IFERROR('Const.'!AK31,0)</f>
        <v>0</v>
      </c>
      <c r="AM37" s="77">
        <f>IFERROR('Const.'!AL31,0)</f>
        <v>0</v>
      </c>
      <c r="AN37" s="76">
        <f>IFERROR('Const.'!AM31,0)</f>
        <v>0</v>
      </c>
      <c r="AO37" s="77">
        <f>IFERROR('Const.'!AN31,0)</f>
        <v>0</v>
      </c>
      <c r="AP37" s="77">
        <f>IFERROR('Const.'!AO31,0)</f>
        <v>0</v>
      </c>
      <c r="AQ37" s="77">
        <f>IFERROR('Const.'!AP31,0)</f>
        <v>0</v>
      </c>
    </row>
    <row r="38" spans="2:43" ht="12.75" customHeight="1" x14ac:dyDescent="0.15">
      <c r="D38" s="77" t="s">
        <v>231</v>
      </c>
      <c r="J38" s="76">
        <f t="shared" ref="J38:AQ38" ca="1" si="8">-J16</f>
        <v>133816997.42255443</v>
      </c>
      <c r="K38" s="77">
        <f t="shared" ca="1" si="8"/>
        <v>108846366.56166095</v>
      </c>
      <c r="L38" s="77">
        <f t="shared" ca="1" si="8"/>
        <v>96641896.488995731</v>
      </c>
      <c r="M38" s="77">
        <f t="shared" ca="1" si="8"/>
        <v>90608949.511544883</v>
      </c>
      <c r="N38" s="77">
        <f t="shared" ca="1" si="8"/>
        <v>97742107.649551809</v>
      </c>
      <c r="O38" s="76">
        <f t="shared" ca="1" si="8"/>
        <v>99030995.622147322</v>
      </c>
      <c r="P38" s="77">
        <f t="shared" ca="1" si="8"/>
        <v>100210081.03243938</v>
      </c>
      <c r="Q38" s="77">
        <f t="shared" ca="1" si="8"/>
        <v>102290764.13141546</v>
      </c>
      <c r="R38" s="77">
        <f t="shared" ca="1" si="8"/>
        <v>107916661.96005309</v>
      </c>
      <c r="S38" s="77">
        <f t="shared" ca="1" si="8"/>
        <v>110251074.34472331</v>
      </c>
      <c r="T38" s="76">
        <f t="shared" ca="1" si="8"/>
        <v>112039195.7885676</v>
      </c>
      <c r="U38" s="77">
        <f t="shared" ca="1" si="8"/>
        <v>114829080.07760078</v>
      </c>
      <c r="V38" s="77">
        <f t="shared" ca="1" si="8"/>
        <v>113419704.22355691</v>
      </c>
      <c r="W38" s="77">
        <f t="shared" ca="1" si="8"/>
        <v>114323301.70022172</v>
      </c>
      <c r="X38" s="77">
        <f t="shared" ca="1" si="8"/>
        <v>115020329.29245821</v>
      </c>
      <c r="Y38" s="76">
        <f t="shared" ca="1" si="8"/>
        <v>117436346.93845303</v>
      </c>
      <c r="Z38" s="77">
        <f t="shared" ca="1" si="8"/>
        <v>120402008.34094915</v>
      </c>
      <c r="AA38" s="77">
        <f t="shared" ca="1" si="8"/>
        <v>118807089.71756515</v>
      </c>
      <c r="AB38" s="77">
        <f t="shared" ca="1" si="8"/>
        <v>121738263.9799802</v>
      </c>
      <c r="AC38" s="77">
        <f t="shared" ca="1" si="8"/>
        <v>124307000.74482724</v>
      </c>
      <c r="AD38" s="76">
        <f t="shared" ca="1" si="8"/>
        <v>126933678.94048768</v>
      </c>
      <c r="AE38" s="77">
        <f t="shared" ca="1" si="8"/>
        <v>129619605.51647881</v>
      </c>
      <c r="AF38" s="77">
        <f t="shared" ca="1" si="8"/>
        <v>132366116.90247574</v>
      </c>
      <c r="AG38" s="77">
        <f t="shared" ca="1" si="8"/>
        <v>135174579.67309648</v>
      </c>
      <c r="AH38" s="77">
        <f t="shared" ca="1" si="8"/>
        <v>138046391.22801614</v>
      </c>
      <c r="AI38" s="76">
        <f t="shared" ca="1" si="8"/>
        <v>140982980.48719841</v>
      </c>
      <c r="AJ38" s="77">
        <f t="shared" ca="1" si="8"/>
        <v>143985808.60180593</v>
      </c>
      <c r="AK38" s="77">
        <f t="shared" ca="1" si="8"/>
        <v>147056369.68144313</v>
      </c>
      <c r="AL38" s="77">
        <f t="shared" ca="1" si="8"/>
        <v>150196191.53732836</v>
      </c>
      <c r="AM38" s="77">
        <f t="shared" ca="1" si="8"/>
        <v>153406836.44259289</v>
      </c>
      <c r="AN38" s="76">
        <f t="shared" ca="1" si="8"/>
        <v>156689901.90960303</v>
      </c>
      <c r="AO38" s="77">
        <f t="shared" ca="1" si="8"/>
        <v>160047021.48490563</v>
      </c>
      <c r="AP38" s="77">
        <f t="shared" ca="1" si="8"/>
        <v>163479865.56190848</v>
      </c>
      <c r="AQ38" s="77">
        <f t="shared" ca="1" si="8"/>
        <v>166990142.21207601</v>
      </c>
    </row>
    <row r="39" spans="2:43" ht="12.75" customHeight="1" x14ac:dyDescent="0.15">
      <c r="D39" s="77" t="s">
        <v>271</v>
      </c>
      <c r="J39" s="76">
        <f t="shared" ref="J39:AQ39" si="9">J21</f>
        <v>0</v>
      </c>
      <c r="K39" s="77">
        <f t="shared" si="9"/>
        <v>0</v>
      </c>
      <c r="L39" s="77">
        <f t="shared" si="9"/>
        <v>0</v>
      </c>
      <c r="M39" s="77">
        <f t="shared" ca="1" si="9"/>
        <v>0</v>
      </c>
      <c r="N39" s="77">
        <f t="shared" ca="1" si="9"/>
        <v>0</v>
      </c>
      <c r="O39" s="76">
        <f t="shared" ca="1" si="9"/>
        <v>0</v>
      </c>
      <c r="P39" s="77">
        <f t="shared" ca="1" si="9"/>
        <v>0</v>
      </c>
      <c r="Q39" s="77">
        <f t="shared" ca="1" si="9"/>
        <v>0</v>
      </c>
      <c r="R39" s="77">
        <f t="shared" ca="1" si="9"/>
        <v>0</v>
      </c>
      <c r="S39" s="77">
        <f t="shared" ca="1" si="9"/>
        <v>0</v>
      </c>
      <c r="T39" s="76">
        <f t="shared" ca="1" si="9"/>
        <v>0</v>
      </c>
      <c r="U39" s="77">
        <f t="shared" ca="1" si="9"/>
        <v>0</v>
      </c>
      <c r="V39" s="77">
        <f t="shared" ca="1" si="9"/>
        <v>0</v>
      </c>
      <c r="W39" s="77">
        <f t="shared" ca="1" si="9"/>
        <v>0</v>
      </c>
      <c r="X39" s="77">
        <f t="shared" ca="1" si="9"/>
        <v>0</v>
      </c>
      <c r="Y39" s="76">
        <f t="shared" ca="1" si="9"/>
        <v>0</v>
      </c>
      <c r="Z39" s="77">
        <f t="shared" ca="1" si="9"/>
        <v>0</v>
      </c>
      <c r="AA39" s="77">
        <f t="shared" ca="1" si="9"/>
        <v>0</v>
      </c>
      <c r="AB39" s="77">
        <f t="shared" ca="1" si="9"/>
        <v>0</v>
      </c>
      <c r="AC39" s="77">
        <f t="shared" ca="1" si="9"/>
        <v>0</v>
      </c>
      <c r="AD39" s="76">
        <f t="shared" ca="1" si="9"/>
        <v>0</v>
      </c>
      <c r="AE39" s="77">
        <f t="shared" ca="1" si="9"/>
        <v>0</v>
      </c>
      <c r="AF39" s="77">
        <f t="shared" ca="1" si="9"/>
        <v>0</v>
      </c>
      <c r="AG39" s="77">
        <f t="shared" ca="1" si="9"/>
        <v>0</v>
      </c>
      <c r="AH39" s="77">
        <f t="shared" ca="1" si="9"/>
        <v>0</v>
      </c>
      <c r="AI39" s="76">
        <f t="shared" ca="1" si="9"/>
        <v>0</v>
      </c>
      <c r="AJ39" s="77">
        <f t="shared" ca="1" si="9"/>
        <v>0</v>
      </c>
      <c r="AK39" s="77">
        <f t="shared" ca="1" si="9"/>
        <v>0</v>
      </c>
      <c r="AL39" s="77">
        <f t="shared" ca="1" si="9"/>
        <v>0</v>
      </c>
      <c r="AM39" s="77">
        <f t="shared" ca="1" si="9"/>
        <v>0</v>
      </c>
      <c r="AN39" s="76">
        <f t="shared" ca="1" si="9"/>
        <v>0</v>
      </c>
      <c r="AO39" s="77">
        <f t="shared" ca="1" si="9"/>
        <v>0</v>
      </c>
      <c r="AP39" s="77">
        <f t="shared" ca="1" si="9"/>
        <v>0</v>
      </c>
      <c r="AQ39" s="77">
        <f t="shared" ca="1" si="9"/>
        <v>0</v>
      </c>
    </row>
    <row r="40" spans="2:43" ht="12.75" customHeight="1" x14ac:dyDescent="0.15">
      <c r="D40" s="77" t="s">
        <v>282</v>
      </c>
      <c r="J40" s="76">
        <f>Financ.!J18</f>
        <v>0</v>
      </c>
      <c r="K40" s="77">
        <f>Financ.!K18</f>
        <v>0</v>
      </c>
      <c r="L40" s="77">
        <f>Financ.!L18</f>
        <v>0</v>
      </c>
      <c r="M40" s="77">
        <f ca="1">Financ.!M18</f>
        <v>0</v>
      </c>
      <c r="N40" s="77">
        <f ca="1">Financ.!N18</f>
        <v>0</v>
      </c>
      <c r="O40" s="76">
        <f ca="1">Financ.!O18</f>
        <v>0</v>
      </c>
      <c r="P40" s="77">
        <f ca="1">Financ.!P18</f>
        <v>0</v>
      </c>
      <c r="Q40" s="77">
        <f ca="1">Financ.!Q18</f>
        <v>0</v>
      </c>
      <c r="R40" s="77">
        <f ca="1">Financ.!R18</f>
        <v>0</v>
      </c>
      <c r="S40" s="77">
        <f ca="1">Financ.!S18</f>
        <v>0</v>
      </c>
      <c r="T40" s="76">
        <f ca="1">Financ.!T18</f>
        <v>0</v>
      </c>
      <c r="U40" s="77">
        <f ca="1">Financ.!U18</f>
        <v>0</v>
      </c>
      <c r="V40" s="77">
        <f ca="1">Financ.!V18</f>
        <v>0</v>
      </c>
      <c r="W40" s="77">
        <f ca="1">Financ.!W18</f>
        <v>0</v>
      </c>
      <c r="X40" s="77">
        <f ca="1">Financ.!X18</f>
        <v>0</v>
      </c>
      <c r="Y40" s="76">
        <f ca="1">Financ.!Y18</f>
        <v>0</v>
      </c>
      <c r="Z40" s="77">
        <f ca="1">Financ.!Z18</f>
        <v>0</v>
      </c>
      <c r="AA40" s="77">
        <f ca="1">Financ.!AA18</f>
        <v>0</v>
      </c>
      <c r="AB40" s="77">
        <f ca="1">Financ.!AB18</f>
        <v>0</v>
      </c>
      <c r="AC40" s="77">
        <f ca="1">Financ.!AC18</f>
        <v>0</v>
      </c>
      <c r="AD40" s="76">
        <f ca="1">Financ.!AD18</f>
        <v>0</v>
      </c>
      <c r="AE40" s="77">
        <f ca="1">Financ.!AE18</f>
        <v>0</v>
      </c>
      <c r="AF40" s="77">
        <f ca="1">Financ.!AF18</f>
        <v>0</v>
      </c>
      <c r="AG40" s="77">
        <f ca="1">Financ.!AG18</f>
        <v>0</v>
      </c>
      <c r="AH40" s="77">
        <f ca="1">Financ.!AH18</f>
        <v>0</v>
      </c>
      <c r="AI40" s="76">
        <f ca="1">Financ.!AI18</f>
        <v>0</v>
      </c>
      <c r="AJ40" s="77">
        <f ca="1">Financ.!AJ18</f>
        <v>0</v>
      </c>
      <c r="AK40" s="77">
        <f ca="1">Financ.!AK18</f>
        <v>0</v>
      </c>
      <c r="AL40" s="77">
        <f ca="1">Financ.!AL18</f>
        <v>0</v>
      </c>
      <c r="AM40" s="77">
        <f ca="1">Financ.!AM18</f>
        <v>0</v>
      </c>
      <c r="AN40" s="76">
        <f ca="1">Financ.!AN18</f>
        <v>0</v>
      </c>
      <c r="AO40" s="77">
        <f ca="1">Financ.!AO18</f>
        <v>0</v>
      </c>
      <c r="AP40" s="77">
        <f ca="1">Financ.!AP18</f>
        <v>0</v>
      </c>
      <c r="AQ40" s="77">
        <f ca="1">Financ.!AQ18</f>
        <v>0</v>
      </c>
    </row>
    <row r="41" spans="2:43" ht="12.75" customHeight="1" x14ac:dyDescent="0.15">
      <c r="D41" s="77" t="s">
        <v>273</v>
      </c>
      <c r="J41" s="76">
        <f t="shared" ref="J41:AQ41" ca="1" si="10">J23</f>
        <v>0</v>
      </c>
      <c r="K41" s="77">
        <f t="shared" ca="1" si="10"/>
        <v>0</v>
      </c>
      <c r="L41" s="77">
        <f t="shared" ca="1" si="10"/>
        <v>0</v>
      </c>
      <c r="M41" s="77">
        <f t="shared" ca="1" si="10"/>
        <v>0</v>
      </c>
      <c r="N41" s="77">
        <f t="shared" ca="1" si="10"/>
        <v>0</v>
      </c>
      <c r="O41" s="76">
        <f t="shared" ca="1" si="10"/>
        <v>0</v>
      </c>
      <c r="P41" s="77">
        <f t="shared" ca="1" si="10"/>
        <v>0</v>
      </c>
      <c r="Q41" s="77">
        <f t="shared" ca="1" si="10"/>
        <v>0</v>
      </c>
      <c r="R41" s="77">
        <f t="shared" ca="1" si="10"/>
        <v>0</v>
      </c>
      <c r="S41" s="77">
        <f t="shared" ca="1" si="10"/>
        <v>0</v>
      </c>
      <c r="T41" s="76">
        <f t="shared" ca="1" si="10"/>
        <v>0</v>
      </c>
      <c r="U41" s="77">
        <f t="shared" ca="1" si="10"/>
        <v>0</v>
      </c>
      <c r="V41" s="77">
        <f t="shared" ca="1" si="10"/>
        <v>0</v>
      </c>
      <c r="W41" s="77">
        <f t="shared" ca="1" si="10"/>
        <v>0</v>
      </c>
      <c r="X41" s="77">
        <f t="shared" ca="1" si="10"/>
        <v>0</v>
      </c>
      <c r="Y41" s="76">
        <f t="shared" ca="1" si="10"/>
        <v>0</v>
      </c>
      <c r="Z41" s="77">
        <f t="shared" ca="1" si="10"/>
        <v>0</v>
      </c>
      <c r="AA41" s="77">
        <f t="shared" ca="1" si="10"/>
        <v>0</v>
      </c>
      <c r="AB41" s="77">
        <f t="shared" ca="1" si="10"/>
        <v>0</v>
      </c>
      <c r="AC41" s="77">
        <f t="shared" ca="1" si="10"/>
        <v>0</v>
      </c>
      <c r="AD41" s="76">
        <f t="shared" ca="1" si="10"/>
        <v>0</v>
      </c>
      <c r="AE41" s="77">
        <f t="shared" ca="1" si="10"/>
        <v>0</v>
      </c>
      <c r="AF41" s="77">
        <f t="shared" ca="1" si="10"/>
        <v>0</v>
      </c>
      <c r="AG41" s="77">
        <f t="shared" ca="1" si="10"/>
        <v>0</v>
      </c>
      <c r="AH41" s="77">
        <f t="shared" ca="1" si="10"/>
        <v>0</v>
      </c>
      <c r="AI41" s="76">
        <f t="shared" ca="1" si="10"/>
        <v>0</v>
      </c>
      <c r="AJ41" s="77">
        <f t="shared" ca="1" si="10"/>
        <v>0</v>
      </c>
      <c r="AK41" s="77">
        <f t="shared" ca="1" si="10"/>
        <v>0</v>
      </c>
      <c r="AL41" s="77">
        <f t="shared" ca="1" si="10"/>
        <v>0</v>
      </c>
      <c r="AM41" s="77">
        <f t="shared" ca="1" si="10"/>
        <v>0</v>
      </c>
      <c r="AN41" s="76">
        <f t="shared" ca="1" si="10"/>
        <v>0</v>
      </c>
      <c r="AO41" s="77">
        <f t="shared" ca="1" si="10"/>
        <v>0</v>
      </c>
      <c r="AP41" s="77">
        <f t="shared" ca="1" si="10"/>
        <v>0</v>
      </c>
      <c r="AQ41" s="77">
        <f t="shared" ca="1" si="10"/>
        <v>0</v>
      </c>
    </row>
    <row r="42" spans="2:43" ht="12.75" customHeight="1" x14ac:dyDescent="0.15">
      <c r="D42" s="77" t="s">
        <v>283</v>
      </c>
      <c r="J42" s="76"/>
      <c r="O42" s="76"/>
      <c r="T42" s="76"/>
      <c r="Y42" s="76"/>
      <c r="AD42" s="76"/>
      <c r="AI42" s="76"/>
      <c r="AN42" s="76"/>
    </row>
    <row r="43" spans="2:43" ht="12.75" customHeight="1" x14ac:dyDescent="0.15">
      <c r="I43" s="77" t="s">
        <v>284</v>
      </c>
      <c r="J43" s="76"/>
      <c r="O43" s="76"/>
      <c r="T43" s="76"/>
      <c r="Y43" s="76"/>
      <c r="AD43" s="76"/>
      <c r="AI43" s="76"/>
      <c r="AN43" s="76"/>
    </row>
    <row r="44" spans="2:43" ht="12.75" customHeight="1" x14ac:dyDescent="0.15">
      <c r="C44" s="77" t="s">
        <v>285</v>
      </c>
      <c r="J44" s="76">
        <f t="shared" ref="J44:AQ44" ca="1" si="11">SUM(J32:J34)-SUM(J37:J42)</f>
        <v>6933912.2628454268</v>
      </c>
      <c r="K44" s="77">
        <f t="shared" ca="1" si="11"/>
        <v>3969368.2057242095</v>
      </c>
      <c r="L44" s="77">
        <f t="shared" ca="1" si="11"/>
        <v>2359097.724109903</v>
      </c>
      <c r="M44" s="77">
        <f t="shared" ca="1" si="11"/>
        <v>1551790.8968338072</v>
      </c>
      <c r="N44" s="77">
        <f t="shared" ca="1" si="11"/>
        <v>2066019.6789100766</v>
      </c>
      <c r="O44" s="76">
        <f t="shared" ca="1" si="11"/>
        <v>1987111.6865664423</v>
      </c>
      <c r="P44" s="77">
        <f t="shared" ca="1" si="11"/>
        <v>1880639.2849310935</v>
      </c>
      <c r="Q44" s="77">
        <f t="shared" ca="1" si="11"/>
        <v>1841770.5923024118</v>
      </c>
      <c r="R44" s="77">
        <f t="shared" ca="1" si="11"/>
        <v>2073942.9938557297</v>
      </c>
      <c r="S44" s="77">
        <f t="shared" ca="1" si="11"/>
        <v>2027089.2394685149</v>
      </c>
      <c r="T44" s="76">
        <f t="shared" ca="1" si="11"/>
        <v>1928405.3080413491</v>
      </c>
      <c r="U44" s="77">
        <f t="shared" ca="1" si="11"/>
        <v>1893829.8243059218</v>
      </c>
      <c r="V44" s="77">
        <f t="shared" ca="1" si="11"/>
        <v>1551028.3534577936</v>
      </c>
      <c r="W44" s="77">
        <f t="shared" ca="1" si="11"/>
        <v>1371421.2489845902</v>
      </c>
      <c r="X44" s="77">
        <f t="shared" ca="1" si="11"/>
        <v>1173660.7417279184</v>
      </c>
      <c r="Y44" s="76">
        <f t="shared" ca="1" si="11"/>
        <v>1081522.8964203596</v>
      </c>
      <c r="Z44" s="77">
        <f t="shared" ca="1" si="11"/>
        <v>1011713.6383112073</v>
      </c>
      <c r="AA44" s="77">
        <f t="shared" ca="1" si="11"/>
        <v>658851.75867775083</v>
      </c>
      <c r="AB44" s="77">
        <f t="shared" ca="1" si="11"/>
        <v>569712.89039221406</v>
      </c>
      <c r="AC44" s="77">
        <f t="shared" ca="1" si="11"/>
        <v>447135.6629422605</v>
      </c>
      <c r="AD44" s="76">
        <f t="shared" ca="1" si="11"/>
        <v>315540.1954562068</v>
      </c>
      <c r="AE44" s="77">
        <f t="shared" ca="1" si="11"/>
        <v>174598.00217878819</v>
      </c>
      <c r="AF44" s="77">
        <f t="shared" ca="1" si="11"/>
        <v>23970.686572238803</v>
      </c>
      <c r="AG44" s="77">
        <f t="shared" ca="1" si="11"/>
        <v>-136690.33227446675</v>
      </c>
      <c r="AH44" s="77">
        <f t="shared" ca="1" si="11"/>
        <v>-307744.10038539767</v>
      </c>
      <c r="AI44" s="76">
        <f t="shared" ca="1" si="11"/>
        <v>-489560.41700556874</v>
      </c>
      <c r="AJ44" s="77">
        <f t="shared" ca="1" si="11"/>
        <v>-682520.13024717569</v>
      </c>
      <c r="AK44" s="77">
        <f t="shared" ca="1" si="11"/>
        <v>-887015.44045060873</v>
      </c>
      <c r="AL44" s="77">
        <f t="shared" ca="1" si="11"/>
        <v>-1103450.2114970386</v>
      </c>
      <c r="AM44" s="77">
        <f t="shared" ca="1" si="11"/>
        <v>-1332240.2902276814</v>
      </c>
      <c r="AN44" s="76">
        <f t="shared" ca="1" si="11"/>
        <v>-1573813.8342017233</v>
      </c>
      <c r="AO44" s="77">
        <f t="shared" ca="1" si="11"/>
        <v>-1828611.6479928792</v>
      </c>
      <c r="AP44" s="77">
        <f t="shared" ca="1" si="11"/>
        <v>-2097087.5282523334</v>
      </c>
      <c r="AQ44" s="77">
        <f t="shared" ca="1" si="11"/>
        <v>-2379708.6177423596</v>
      </c>
    </row>
    <row r="45" spans="2:43" ht="12.75" customHeight="1" x14ac:dyDescent="0.15">
      <c r="H45" s="77" t="s">
        <v>286</v>
      </c>
      <c r="I45" s="77">
        <f ca="1">SUM(J44:AC44)</f>
        <v>38378024.888808981</v>
      </c>
      <c r="J45" s="76"/>
      <c r="O45" s="76"/>
      <c r="T45" s="76"/>
      <c r="Y45" s="76"/>
      <c r="AD45" s="76"/>
      <c r="AI45" s="76"/>
      <c r="AN45" s="76"/>
    </row>
    <row r="46" spans="2:43" ht="12.75" customHeight="1" x14ac:dyDescent="0.15">
      <c r="B46" s="77" t="s">
        <v>287</v>
      </c>
      <c r="J46" s="76"/>
      <c r="O46" s="76"/>
      <c r="T46" s="76"/>
      <c r="Y46" s="76"/>
      <c r="AD46" s="76"/>
      <c r="AI46" s="76"/>
      <c r="AN46" s="76"/>
    </row>
    <row r="47" spans="2:43" ht="12.75" customHeight="1" x14ac:dyDescent="0.15">
      <c r="J47" s="76"/>
      <c r="O47" s="76"/>
      <c r="T47" s="76"/>
      <c r="Y47" s="76"/>
      <c r="AD47" s="76"/>
      <c r="AI47" s="76"/>
      <c r="AN47" s="76"/>
    </row>
    <row r="48" spans="2:43" ht="12.75" customHeight="1" x14ac:dyDescent="0.15">
      <c r="C48" s="77" t="s">
        <v>288</v>
      </c>
      <c r="J48" s="76"/>
      <c r="O48" s="76"/>
      <c r="T48" s="76"/>
      <c r="Y48" s="76"/>
      <c r="AD48" s="76"/>
      <c r="AI48" s="76"/>
      <c r="AN48" s="76"/>
    </row>
    <row r="49" spans="3:43" ht="12.75" customHeight="1" x14ac:dyDescent="0.15">
      <c r="D49" s="77" t="s">
        <v>289</v>
      </c>
      <c r="J49" s="76">
        <f>IF(Ass.!$D$11=1,0,Ass.!$G$13)</f>
        <v>500000000</v>
      </c>
      <c r="K49" s="77">
        <f t="shared" ref="K49:AQ49" ca="1" si="12">J54</f>
        <v>490267245.59617871</v>
      </c>
      <c r="L49" s="77">
        <f t="shared" ca="1" si="12"/>
        <v>477569947.13523626</v>
      </c>
      <c r="M49" s="77">
        <f t="shared" ca="1" si="12"/>
        <v>463262378.19267946</v>
      </c>
      <c r="N49" s="77">
        <f t="shared" ca="1" si="12"/>
        <v>448147502.42284662</v>
      </c>
      <c r="O49" s="76">
        <f t="shared" ca="1" si="12"/>
        <v>433546855.43509001</v>
      </c>
      <c r="P49" s="77">
        <f t="shared" ca="1" si="12"/>
        <v>418867300.45498973</v>
      </c>
      <c r="Q49" s="77">
        <f t="shared" ca="1" si="12"/>
        <v>404081273.07325417</v>
      </c>
      <c r="R49" s="77">
        <f t="shared" ca="1" si="12"/>
        <v>389256376.99888986</v>
      </c>
      <c r="S49" s="77">
        <f t="shared" ca="1" si="12"/>
        <v>374663653.32607895</v>
      </c>
      <c r="T49" s="76">
        <f t="shared" ca="1" si="12"/>
        <v>360024075.89888078</v>
      </c>
      <c r="U49" s="77">
        <f t="shared" ca="1" si="12"/>
        <v>345285814.54025543</v>
      </c>
      <c r="V49" s="77">
        <f t="shared" ca="1" si="12"/>
        <v>330512977.69789463</v>
      </c>
      <c r="W49" s="77">
        <f t="shared" ca="1" si="12"/>
        <v>315397339.38468575</v>
      </c>
      <c r="X49" s="77">
        <f t="shared" ca="1" si="12"/>
        <v>300102093.96700364</v>
      </c>
      <c r="Y49" s="76">
        <f t="shared" ca="1" si="12"/>
        <v>284609088.04206491</v>
      </c>
      <c r="Z49" s="77">
        <f t="shared" ca="1" si="12"/>
        <v>269023944.27181864</v>
      </c>
      <c r="AA49" s="77">
        <f t="shared" ca="1" si="12"/>
        <v>253368991.24346319</v>
      </c>
      <c r="AB49" s="77">
        <f t="shared" ca="1" si="12"/>
        <v>237361176.33547428</v>
      </c>
      <c r="AC49" s="77">
        <f t="shared" ca="1" si="12"/>
        <v>221264222.55919984</v>
      </c>
      <c r="AD49" s="76">
        <f t="shared" ca="1" si="12"/>
        <v>205044691.55547544</v>
      </c>
      <c r="AE49" s="77">
        <f t="shared" ca="1" si="12"/>
        <v>188693565.08426502</v>
      </c>
      <c r="AF49" s="77">
        <f t="shared" ca="1" si="12"/>
        <v>172201496.41977713</v>
      </c>
      <c r="AG49" s="77">
        <f t="shared" ca="1" si="12"/>
        <v>155558800.43968269</v>
      </c>
      <c r="AH49" s="77">
        <f t="shared" ca="1" si="12"/>
        <v>138755443.44074157</v>
      </c>
      <c r="AI49" s="76">
        <f t="shared" ca="1" si="12"/>
        <v>121781032.6736895</v>
      </c>
      <c r="AJ49" s="77">
        <f t="shared" ca="1" si="12"/>
        <v>104624805.59001724</v>
      </c>
      <c r="AK49" s="77">
        <f t="shared" ca="1" si="12"/>
        <v>87275618.793103412</v>
      </c>
      <c r="AL49" s="77">
        <f t="shared" ca="1" si="12"/>
        <v>69721936.685986131</v>
      </c>
      <c r="AM49" s="77">
        <f t="shared" ca="1" si="12"/>
        <v>51951819.807822429</v>
      </c>
      <c r="AN49" s="76">
        <f t="shared" ca="1" si="12"/>
        <v>33952912.850928091</v>
      </c>
      <c r="AO49" s="77">
        <f t="shared" ca="1" si="12"/>
        <v>15712432.350059697</v>
      </c>
      <c r="AP49" s="77">
        <f t="shared" ca="1" si="12"/>
        <v>-2782845.9645998478</v>
      </c>
      <c r="AQ49" s="77">
        <f t="shared" ca="1" si="12"/>
        <v>-21546600.159518845</v>
      </c>
    </row>
    <row r="50" spans="3:43" ht="12.75" customHeight="1" x14ac:dyDescent="0.15">
      <c r="D50" s="77" t="s">
        <v>290</v>
      </c>
      <c r="J50" s="76">
        <f ca="1">J44</f>
        <v>6933912.2628454268</v>
      </c>
      <c r="K50" s="77">
        <f t="shared" ref="K50:AQ50" ca="1" si="13">J50+K44</f>
        <v>10903280.468569636</v>
      </c>
      <c r="L50" s="77">
        <f t="shared" ca="1" si="13"/>
        <v>13262378.192679539</v>
      </c>
      <c r="M50" s="77">
        <f t="shared" ca="1" si="13"/>
        <v>14814169.089513347</v>
      </c>
      <c r="N50" s="77">
        <f t="shared" ca="1" si="13"/>
        <v>16880188.768423423</v>
      </c>
      <c r="O50" s="76">
        <f t="shared" ca="1" si="13"/>
        <v>18867300.454989865</v>
      </c>
      <c r="P50" s="77">
        <f t="shared" ca="1" si="13"/>
        <v>20747939.739920959</v>
      </c>
      <c r="Q50" s="77">
        <f t="shared" ca="1" si="13"/>
        <v>22589710.332223371</v>
      </c>
      <c r="R50" s="77">
        <f t="shared" ca="1" si="13"/>
        <v>24663653.3260791</v>
      </c>
      <c r="S50" s="77">
        <f t="shared" ca="1" si="13"/>
        <v>26690742.565547615</v>
      </c>
      <c r="T50" s="76">
        <f t="shared" ca="1" si="13"/>
        <v>28619147.873588964</v>
      </c>
      <c r="U50" s="77">
        <f t="shared" ca="1" si="13"/>
        <v>30512977.697894886</v>
      </c>
      <c r="V50" s="77">
        <f t="shared" ca="1" si="13"/>
        <v>32064006.05135268</v>
      </c>
      <c r="W50" s="77">
        <f t="shared" ca="1" si="13"/>
        <v>33435427.30033727</v>
      </c>
      <c r="X50" s="77">
        <f t="shared" ca="1" si="13"/>
        <v>34609088.042065188</v>
      </c>
      <c r="Y50" s="76">
        <f t="shared" ca="1" si="13"/>
        <v>35690610.938485548</v>
      </c>
      <c r="Z50" s="77">
        <f t="shared" ca="1" si="13"/>
        <v>36702324.576796755</v>
      </c>
      <c r="AA50" s="77">
        <f t="shared" ca="1" si="13"/>
        <v>37361176.335474506</v>
      </c>
      <c r="AB50" s="77">
        <f t="shared" ca="1" si="13"/>
        <v>37930889.22586672</v>
      </c>
      <c r="AC50" s="77">
        <f t="shared" ca="1" si="13"/>
        <v>38378024.888808981</v>
      </c>
      <c r="AD50" s="76">
        <f t="shared" ca="1" si="13"/>
        <v>38693565.084265187</v>
      </c>
      <c r="AE50" s="77">
        <f t="shared" ca="1" si="13"/>
        <v>38868163.086443976</v>
      </c>
      <c r="AF50" s="77">
        <f t="shared" ca="1" si="13"/>
        <v>38892133.773016214</v>
      </c>
      <c r="AG50" s="77">
        <f t="shared" ca="1" si="13"/>
        <v>38755443.440741748</v>
      </c>
      <c r="AH50" s="77">
        <f t="shared" ca="1" si="13"/>
        <v>38447699.34035635</v>
      </c>
      <c r="AI50" s="76">
        <f t="shared" ca="1" si="13"/>
        <v>37958138.923350781</v>
      </c>
      <c r="AJ50" s="77">
        <f t="shared" ca="1" si="13"/>
        <v>37275618.793103606</v>
      </c>
      <c r="AK50" s="77">
        <f t="shared" ca="1" si="13"/>
        <v>36388603.352652997</v>
      </c>
      <c r="AL50" s="77">
        <f t="shared" ca="1" si="13"/>
        <v>35285153.141155958</v>
      </c>
      <c r="AM50" s="77">
        <f t="shared" ca="1" si="13"/>
        <v>33952912.850928277</v>
      </c>
      <c r="AN50" s="76">
        <f t="shared" ca="1" si="13"/>
        <v>32379099.016726553</v>
      </c>
      <c r="AO50" s="77">
        <f t="shared" ca="1" si="13"/>
        <v>30550487.368733674</v>
      </c>
      <c r="AP50" s="77">
        <f t="shared" ca="1" si="13"/>
        <v>28453399.840481341</v>
      </c>
      <c r="AQ50" s="77">
        <f t="shared" ca="1" si="13"/>
        <v>26073691.222738981</v>
      </c>
    </row>
    <row r="51" spans="3:43" ht="12.75" customHeight="1" x14ac:dyDescent="0.15">
      <c r="E51" s="77" t="s">
        <v>291</v>
      </c>
      <c r="J51" s="76">
        <f>IF(Ass.!$D$11=1,SUM('Const.'!$I$35:I35),Ass.!$G$13)</f>
        <v>500000000</v>
      </c>
      <c r="K51" s="77">
        <f ca="1">J51+'Const.'!J35-J52</f>
        <v>483333333.33333331</v>
      </c>
      <c r="L51" s="77">
        <f ca="1">K51+'Const.'!K35-K52</f>
        <v>466666666.66666663</v>
      </c>
      <c r="M51" s="77">
        <f ca="1">L51+'Const.'!L35-L52</f>
        <v>449999999.99999994</v>
      </c>
      <c r="N51" s="77">
        <f ca="1">M51+'Const.'!M35-M52</f>
        <v>433333333.33333325</v>
      </c>
      <c r="O51" s="76">
        <f ca="1">N51+'Const.'!N35-N52</f>
        <v>416666666.66666657</v>
      </c>
      <c r="P51" s="77">
        <f ca="1">O51+'Const.'!O35-O52</f>
        <v>399999999.99999988</v>
      </c>
      <c r="Q51" s="77">
        <f ca="1">P51+'Const.'!P35-P52</f>
        <v>383333333.33333319</v>
      </c>
      <c r="R51" s="77">
        <f ca="1">Q51+'Const.'!Q35-Q52</f>
        <v>366666666.66666651</v>
      </c>
      <c r="S51" s="77">
        <f ca="1">R51+'Const.'!R35-R52</f>
        <v>349999999.99999982</v>
      </c>
      <c r="T51" s="76">
        <f ca="1">S51+'Const.'!S35-S52</f>
        <v>333333333.33333313</v>
      </c>
      <c r="U51" s="77">
        <f ca="1">T51+'Const.'!T35-T52</f>
        <v>316666666.66666645</v>
      </c>
      <c r="V51" s="77">
        <f ca="1">U51+'Const.'!U35-U52</f>
        <v>299999999.99999976</v>
      </c>
      <c r="W51" s="77">
        <f ca="1">V51+'Const.'!V35-V52</f>
        <v>283333333.33333308</v>
      </c>
      <c r="X51" s="77">
        <f ca="1">W51+'Const.'!W35-W52</f>
        <v>266666666.66666642</v>
      </c>
      <c r="Y51" s="76">
        <f ca="1">X51+'Const.'!X35-X52</f>
        <v>249999999.99999976</v>
      </c>
      <c r="Z51" s="77">
        <f ca="1">Y51+'Const.'!Y35-Y52</f>
        <v>233333333.3333331</v>
      </c>
      <c r="AA51" s="77">
        <f ca="1">Z51+'Const.'!Z35-Z52</f>
        <v>216666666.66666645</v>
      </c>
      <c r="AB51" s="77">
        <f ca="1">AA51+'Const.'!AA35-AA52</f>
        <v>199999999.99999979</v>
      </c>
      <c r="AC51" s="77">
        <f ca="1">AB51+'Const.'!AB35-AB52</f>
        <v>183333333.33333313</v>
      </c>
      <c r="AD51" s="76">
        <f ca="1">AC51+'Const.'!AC35-AC52</f>
        <v>166666666.66666648</v>
      </c>
      <c r="AE51" s="77">
        <f ca="1">AD51+'Const.'!AD35-AD52</f>
        <v>149999999.99999982</v>
      </c>
      <c r="AF51" s="77">
        <f ca="1">AE51+'Const.'!AE35-AE52</f>
        <v>133333333.33333315</v>
      </c>
      <c r="AG51" s="77">
        <f ca="1">AF51+'Const.'!AF35-AF52</f>
        <v>116666666.66666648</v>
      </c>
      <c r="AH51" s="77">
        <f ca="1">AG51+'Const.'!AG35-AG52</f>
        <v>99999999.999999806</v>
      </c>
      <c r="AI51" s="76">
        <f ca="1">AH51+'Const.'!AH35-AH52</f>
        <v>83333333.333333135</v>
      </c>
      <c r="AJ51" s="77">
        <f ca="1">AI51+'Const.'!AI35-AI52</f>
        <v>66666666.66666647</v>
      </c>
      <c r="AK51" s="77">
        <f ca="1">AJ51+'Const.'!AJ35-AJ52</f>
        <v>49999999.999999806</v>
      </c>
      <c r="AL51" s="77">
        <f ca="1">AK51+'Const.'!AK35-AK52</f>
        <v>33333333.333333142</v>
      </c>
      <c r="AM51" s="77">
        <f ca="1">AL51+'Const.'!AL35-AL52</f>
        <v>16666666.666666476</v>
      </c>
      <c r="AN51" s="76">
        <f ca="1">AM51+'Const.'!AM35-AM52</f>
        <v>-1.8998980522155762E-7</v>
      </c>
      <c r="AO51" s="77">
        <f ca="1">AN51+'Const.'!AN35-AN52</f>
        <v>-16666666.666666856</v>
      </c>
      <c r="AP51" s="77">
        <f ca="1">AO51+'Const.'!AO35-AO52</f>
        <v>-33333333.333333522</v>
      </c>
      <c r="AQ51" s="77">
        <f ca="1">AP51+'Const.'!AP35-AP52</f>
        <v>-50000000.000000186</v>
      </c>
    </row>
    <row r="52" spans="3:43" ht="12.75" customHeight="1" x14ac:dyDescent="0.15">
      <c r="E52" s="77" t="s">
        <v>292</v>
      </c>
      <c r="J52" s="76">
        <f t="shared" ref="J52:AQ52" si="14">J20</f>
        <v>16666666.666666666</v>
      </c>
      <c r="K52" s="77">
        <f t="shared" si="14"/>
        <v>16666666.666666666</v>
      </c>
      <c r="L52" s="77">
        <f t="shared" si="14"/>
        <v>16666666.666666666</v>
      </c>
      <c r="M52" s="77">
        <f t="shared" si="14"/>
        <v>16666666.666666666</v>
      </c>
      <c r="N52" s="77">
        <f t="shared" si="14"/>
        <v>16666666.666666666</v>
      </c>
      <c r="O52" s="76">
        <f t="shared" si="14"/>
        <v>16666666.666666666</v>
      </c>
      <c r="P52" s="77">
        <f t="shared" si="14"/>
        <v>16666666.666666666</v>
      </c>
      <c r="Q52" s="77">
        <f t="shared" si="14"/>
        <v>16666666.666666666</v>
      </c>
      <c r="R52" s="77">
        <f t="shared" si="14"/>
        <v>16666666.666666666</v>
      </c>
      <c r="S52" s="77">
        <f t="shared" si="14"/>
        <v>16666666.666666666</v>
      </c>
      <c r="T52" s="76">
        <f t="shared" si="14"/>
        <v>16666666.666666666</v>
      </c>
      <c r="U52" s="77">
        <f t="shared" si="14"/>
        <v>16666666.666666666</v>
      </c>
      <c r="V52" s="77">
        <f t="shared" si="14"/>
        <v>16666666.666666666</v>
      </c>
      <c r="W52" s="77">
        <f t="shared" si="14"/>
        <v>16666666.666666666</v>
      </c>
      <c r="X52" s="77">
        <f t="shared" si="14"/>
        <v>16666666.666666666</v>
      </c>
      <c r="Y52" s="76">
        <f t="shared" si="14"/>
        <v>16666666.666666666</v>
      </c>
      <c r="Z52" s="77">
        <f t="shared" si="14"/>
        <v>16666666.666666666</v>
      </c>
      <c r="AA52" s="77">
        <f t="shared" si="14"/>
        <v>16666666.666666666</v>
      </c>
      <c r="AB52" s="77">
        <f t="shared" si="14"/>
        <v>16666666.666666666</v>
      </c>
      <c r="AC52" s="77">
        <f t="shared" si="14"/>
        <v>16666666.666666666</v>
      </c>
      <c r="AD52" s="76">
        <f t="shared" si="14"/>
        <v>16666666.666666666</v>
      </c>
      <c r="AE52" s="77">
        <f t="shared" si="14"/>
        <v>16666666.666666666</v>
      </c>
      <c r="AF52" s="77">
        <f t="shared" si="14"/>
        <v>16666666.666666666</v>
      </c>
      <c r="AG52" s="77">
        <f t="shared" si="14"/>
        <v>16666666.666666666</v>
      </c>
      <c r="AH52" s="77">
        <f t="shared" si="14"/>
        <v>16666666.666666666</v>
      </c>
      <c r="AI52" s="76">
        <f t="shared" si="14"/>
        <v>16666666.666666666</v>
      </c>
      <c r="AJ52" s="77">
        <f t="shared" si="14"/>
        <v>16666666.666666666</v>
      </c>
      <c r="AK52" s="77">
        <f t="shared" si="14"/>
        <v>16666666.666666666</v>
      </c>
      <c r="AL52" s="77">
        <f t="shared" si="14"/>
        <v>16666666.666666666</v>
      </c>
      <c r="AM52" s="77">
        <f t="shared" si="14"/>
        <v>16666666.666666666</v>
      </c>
      <c r="AN52" s="76">
        <f t="shared" si="14"/>
        <v>16666666.666666666</v>
      </c>
      <c r="AO52" s="77">
        <f t="shared" si="14"/>
        <v>16666666.666666666</v>
      </c>
      <c r="AP52" s="77">
        <f t="shared" si="14"/>
        <v>16666666.666666666</v>
      </c>
      <c r="AQ52" s="77">
        <f t="shared" si="14"/>
        <v>16666666.666666666</v>
      </c>
    </row>
    <row r="53" spans="3:43" ht="12.75" customHeight="1" x14ac:dyDescent="0.15">
      <c r="D53" s="77" t="s">
        <v>293</v>
      </c>
      <c r="J53" s="76"/>
      <c r="O53" s="76"/>
      <c r="T53" s="76"/>
      <c r="Y53" s="76"/>
      <c r="AD53" s="76"/>
      <c r="AI53" s="76"/>
      <c r="AN53" s="76"/>
    </row>
    <row r="54" spans="3:43" ht="12.75" customHeight="1" x14ac:dyDescent="0.15">
      <c r="D54" s="77" t="s">
        <v>294</v>
      </c>
      <c r="J54" s="76">
        <f t="shared" ref="J54:AQ54" ca="1" si="15">J50+J51-J52+J53</f>
        <v>490267245.59617871</v>
      </c>
      <c r="K54" s="77">
        <f t="shared" ca="1" si="15"/>
        <v>477569947.13523626</v>
      </c>
      <c r="L54" s="77">
        <f t="shared" ca="1" si="15"/>
        <v>463262378.19267946</v>
      </c>
      <c r="M54" s="77">
        <f t="shared" ca="1" si="15"/>
        <v>448147502.42284662</v>
      </c>
      <c r="N54" s="77">
        <f t="shared" ca="1" si="15"/>
        <v>433546855.43509001</v>
      </c>
      <c r="O54" s="76">
        <f t="shared" ca="1" si="15"/>
        <v>418867300.45498973</v>
      </c>
      <c r="P54" s="77">
        <f t="shared" ca="1" si="15"/>
        <v>404081273.07325417</v>
      </c>
      <c r="Q54" s="77">
        <f t="shared" ca="1" si="15"/>
        <v>389256376.99888986</v>
      </c>
      <c r="R54" s="77">
        <f t="shared" ca="1" si="15"/>
        <v>374663653.32607895</v>
      </c>
      <c r="S54" s="77">
        <f t="shared" ca="1" si="15"/>
        <v>360024075.89888078</v>
      </c>
      <c r="T54" s="76">
        <f t="shared" ca="1" si="15"/>
        <v>345285814.54025543</v>
      </c>
      <c r="U54" s="77">
        <f t="shared" ca="1" si="15"/>
        <v>330512977.69789463</v>
      </c>
      <c r="V54" s="77">
        <f t="shared" ca="1" si="15"/>
        <v>315397339.38468575</v>
      </c>
      <c r="W54" s="77">
        <f t="shared" ca="1" si="15"/>
        <v>300102093.96700364</v>
      </c>
      <c r="X54" s="77">
        <f t="shared" ca="1" si="15"/>
        <v>284609088.04206491</v>
      </c>
      <c r="Y54" s="76">
        <f t="shared" ca="1" si="15"/>
        <v>269023944.27181864</v>
      </c>
      <c r="Z54" s="77">
        <f t="shared" ca="1" si="15"/>
        <v>253368991.24346319</v>
      </c>
      <c r="AA54" s="77">
        <f t="shared" ca="1" si="15"/>
        <v>237361176.33547428</v>
      </c>
      <c r="AB54" s="77">
        <f t="shared" ca="1" si="15"/>
        <v>221264222.55919984</v>
      </c>
      <c r="AC54" s="77">
        <f t="shared" ca="1" si="15"/>
        <v>205044691.55547544</v>
      </c>
      <c r="AD54" s="76">
        <f t="shared" ca="1" si="15"/>
        <v>188693565.08426502</v>
      </c>
      <c r="AE54" s="77">
        <f t="shared" ca="1" si="15"/>
        <v>172201496.41977713</v>
      </c>
      <c r="AF54" s="77">
        <f t="shared" ca="1" si="15"/>
        <v>155558800.43968269</v>
      </c>
      <c r="AG54" s="77">
        <f t="shared" ca="1" si="15"/>
        <v>138755443.44074157</v>
      </c>
      <c r="AH54" s="77">
        <f t="shared" ca="1" si="15"/>
        <v>121781032.6736895</v>
      </c>
      <c r="AI54" s="76">
        <f t="shared" ca="1" si="15"/>
        <v>104624805.59001724</v>
      </c>
      <c r="AJ54" s="77">
        <f t="shared" ca="1" si="15"/>
        <v>87275618.793103412</v>
      </c>
      <c r="AK54" s="77">
        <f t="shared" ca="1" si="15"/>
        <v>69721936.685986131</v>
      </c>
      <c r="AL54" s="77">
        <f t="shared" ca="1" si="15"/>
        <v>51951819.807822429</v>
      </c>
      <c r="AM54" s="77">
        <f t="shared" ca="1" si="15"/>
        <v>33952912.850928091</v>
      </c>
      <c r="AN54" s="76">
        <f t="shared" ca="1" si="15"/>
        <v>15712432.350059697</v>
      </c>
      <c r="AO54" s="77">
        <f t="shared" ca="1" si="15"/>
        <v>-2782845.9645998478</v>
      </c>
      <c r="AP54" s="77">
        <f t="shared" ca="1" si="15"/>
        <v>-21546600.159518845</v>
      </c>
      <c r="AQ54" s="77">
        <f t="shared" ca="1" si="15"/>
        <v>-40592975.443927869</v>
      </c>
    </row>
    <row r="55" spans="3:43" ht="12.75" customHeight="1" x14ac:dyDescent="0.15">
      <c r="J55" s="76"/>
      <c r="O55" s="76"/>
      <c r="T55" s="76"/>
      <c r="Y55" s="76"/>
      <c r="AD55" s="76"/>
      <c r="AI55" s="76"/>
      <c r="AN55" s="76"/>
    </row>
    <row r="56" spans="3:43" ht="12.75" customHeight="1" x14ac:dyDescent="0.15">
      <c r="C56" s="77" t="s">
        <v>295</v>
      </c>
      <c r="J56" s="76"/>
      <c r="O56" s="76"/>
      <c r="T56" s="76"/>
      <c r="Y56" s="76"/>
      <c r="AD56" s="76"/>
      <c r="AI56" s="76"/>
      <c r="AN56" s="76"/>
    </row>
    <row r="57" spans="3:43" ht="12.75" customHeight="1" x14ac:dyDescent="0.15">
      <c r="D57" s="77" t="s">
        <v>87</v>
      </c>
      <c r="J57" s="76">
        <f ca="1">Financ.!J21</f>
        <v>0</v>
      </c>
      <c r="K57" s="77">
        <f ca="1">Financ.!K21</f>
        <v>0</v>
      </c>
      <c r="L57" s="77">
        <f ca="1">Financ.!L21</f>
        <v>0</v>
      </c>
      <c r="M57" s="77">
        <f ca="1">Financ.!M21</f>
        <v>0</v>
      </c>
      <c r="N57" s="77">
        <f ca="1">Financ.!N21</f>
        <v>0</v>
      </c>
      <c r="O57" s="76">
        <f ca="1">Financ.!O21</f>
        <v>0</v>
      </c>
      <c r="P57" s="77">
        <f ca="1">Financ.!P21</f>
        <v>0</v>
      </c>
      <c r="Q57" s="77">
        <f ca="1">Financ.!Q21</f>
        <v>0</v>
      </c>
      <c r="R57" s="77">
        <f ca="1">Financ.!R21</f>
        <v>0</v>
      </c>
      <c r="S57" s="77">
        <f ca="1">Financ.!S21</f>
        <v>0</v>
      </c>
      <c r="T57" s="76">
        <f ca="1">Financ.!T21</f>
        <v>0</v>
      </c>
      <c r="U57" s="77">
        <f ca="1">Financ.!U21</f>
        <v>0</v>
      </c>
      <c r="V57" s="77">
        <f ca="1">Financ.!V21</f>
        <v>0</v>
      </c>
      <c r="W57" s="77">
        <f ca="1">Financ.!W21</f>
        <v>0</v>
      </c>
      <c r="X57" s="77">
        <f ca="1">Financ.!X21</f>
        <v>0</v>
      </c>
      <c r="Y57" s="76">
        <f ca="1">Financ.!Y21</f>
        <v>0</v>
      </c>
      <c r="Z57" s="77">
        <f ca="1">Financ.!Z21</f>
        <v>0</v>
      </c>
      <c r="AA57" s="77">
        <f ca="1">Financ.!AA21</f>
        <v>0</v>
      </c>
      <c r="AB57" s="77">
        <f ca="1">Financ.!AB21</f>
        <v>0</v>
      </c>
      <c r="AC57" s="77">
        <f ca="1">Financ.!AC21</f>
        <v>0</v>
      </c>
      <c r="AD57" s="76">
        <f ca="1">Financ.!AD21</f>
        <v>0</v>
      </c>
      <c r="AE57" s="77">
        <f ca="1">Financ.!AE21</f>
        <v>0</v>
      </c>
      <c r="AF57" s="77">
        <f ca="1">Financ.!AF21</f>
        <v>0</v>
      </c>
      <c r="AG57" s="77">
        <f ca="1">Financ.!AG21</f>
        <v>0</v>
      </c>
      <c r="AH57" s="77">
        <f ca="1">Financ.!AH21</f>
        <v>0</v>
      </c>
      <c r="AI57" s="76">
        <f ca="1">Financ.!AI21</f>
        <v>0</v>
      </c>
      <c r="AJ57" s="77">
        <f ca="1">Financ.!AJ21</f>
        <v>0</v>
      </c>
      <c r="AK57" s="77">
        <f ca="1">Financ.!AK21</f>
        <v>0</v>
      </c>
      <c r="AL57" s="77">
        <f ca="1">Financ.!AL21</f>
        <v>0</v>
      </c>
      <c r="AM57" s="77">
        <f ca="1">Financ.!AM21</f>
        <v>0</v>
      </c>
      <c r="AN57" s="76">
        <f ca="1">Financ.!AN21</f>
        <v>0</v>
      </c>
      <c r="AO57" s="77">
        <f ca="1">Financ.!AO21</f>
        <v>0</v>
      </c>
      <c r="AP57" s="77">
        <f ca="1">Financ.!AP21</f>
        <v>0</v>
      </c>
      <c r="AQ57" s="77">
        <f ca="1">Financ.!AQ21</f>
        <v>0</v>
      </c>
    </row>
    <row r="58" spans="3:43" ht="12.75" customHeight="1" x14ac:dyDescent="0.15">
      <c r="D58" s="77" t="s">
        <v>296</v>
      </c>
      <c r="J58" s="76"/>
      <c r="O58" s="76"/>
      <c r="T58" s="76"/>
      <c r="Y58" s="76"/>
      <c r="AD58" s="76"/>
      <c r="AI58" s="76"/>
      <c r="AN58" s="76"/>
    </row>
    <row r="59" spans="3:43" ht="12.75" customHeight="1" x14ac:dyDescent="0.15">
      <c r="J59" s="76"/>
      <c r="O59" s="76"/>
      <c r="T59" s="76"/>
      <c r="Y59" s="76"/>
      <c r="AD59" s="76"/>
      <c r="AI59" s="76"/>
      <c r="AN59" s="76"/>
    </row>
    <row r="60" spans="3:43" ht="12.75" customHeight="1" x14ac:dyDescent="0.15">
      <c r="C60" s="77" t="s">
        <v>90</v>
      </c>
      <c r="J60" s="76"/>
      <c r="O60" s="76"/>
      <c r="T60" s="76"/>
      <c r="Y60" s="76"/>
      <c r="AD60" s="76"/>
      <c r="AI60" s="76"/>
      <c r="AN60" s="76"/>
    </row>
    <row r="61" spans="3:43" ht="12.75" customHeight="1" x14ac:dyDescent="0.15">
      <c r="D61" s="77" t="s">
        <v>297</v>
      </c>
      <c r="J61" s="76">
        <f>IF(Ass.!$D$11=1,'3 Stats.'!J34,Ass.!$G$13)</f>
        <v>500000000</v>
      </c>
      <c r="K61" s="77">
        <f t="shared" ref="K61:AQ61" ca="1" si="16">J61+K34</f>
        <v>500000000</v>
      </c>
      <c r="L61" s="77">
        <f t="shared" ca="1" si="16"/>
        <v>500000000</v>
      </c>
      <c r="M61" s="77">
        <f t="shared" ca="1" si="16"/>
        <v>500000000</v>
      </c>
      <c r="N61" s="77">
        <f t="shared" ca="1" si="16"/>
        <v>500000000</v>
      </c>
      <c r="O61" s="76">
        <f t="shared" ca="1" si="16"/>
        <v>500000000</v>
      </c>
      <c r="P61" s="77">
        <f t="shared" ca="1" si="16"/>
        <v>500000000</v>
      </c>
      <c r="Q61" s="77">
        <f t="shared" ca="1" si="16"/>
        <v>500000000</v>
      </c>
      <c r="R61" s="77">
        <f t="shared" ca="1" si="16"/>
        <v>500000000</v>
      </c>
      <c r="S61" s="77">
        <f t="shared" ca="1" si="16"/>
        <v>500000000</v>
      </c>
      <c r="T61" s="76">
        <f t="shared" ca="1" si="16"/>
        <v>500000000</v>
      </c>
      <c r="U61" s="77">
        <f t="shared" ca="1" si="16"/>
        <v>500000000</v>
      </c>
      <c r="V61" s="77">
        <f t="shared" ca="1" si="16"/>
        <v>500000000</v>
      </c>
      <c r="W61" s="77">
        <f t="shared" ca="1" si="16"/>
        <v>500000000</v>
      </c>
      <c r="X61" s="77">
        <f t="shared" ca="1" si="16"/>
        <v>500000000</v>
      </c>
      <c r="Y61" s="76">
        <f t="shared" ca="1" si="16"/>
        <v>500000000</v>
      </c>
      <c r="Z61" s="77">
        <f t="shared" ca="1" si="16"/>
        <v>500000000</v>
      </c>
      <c r="AA61" s="77">
        <f t="shared" ca="1" si="16"/>
        <v>500000000</v>
      </c>
      <c r="AB61" s="77">
        <f t="shared" ca="1" si="16"/>
        <v>500000000</v>
      </c>
      <c r="AC61" s="77">
        <f t="shared" ca="1" si="16"/>
        <v>500000000</v>
      </c>
      <c r="AD61" s="76">
        <f t="shared" ca="1" si="16"/>
        <v>500000000</v>
      </c>
      <c r="AE61" s="77">
        <f t="shared" ca="1" si="16"/>
        <v>500000000</v>
      </c>
      <c r="AF61" s="77">
        <f t="shared" ca="1" si="16"/>
        <v>500000000</v>
      </c>
      <c r="AG61" s="77">
        <f t="shared" ca="1" si="16"/>
        <v>500000000</v>
      </c>
      <c r="AH61" s="77">
        <f t="shared" ca="1" si="16"/>
        <v>500000000</v>
      </c>
      <c r="AI61" s="76">
        <f t="shared" ca="1" si="16"/>
        <v>500000000</v>
      </c>
      <c r="AJ61" s="77">
        <f t="shared" ca="1" si="16"/>
        <v>500000000</v>
      </c>
      <c r="AK61" s="77">
        <f t="shared" ca="1" si="16"/>
        <v>500000000</v>
      </c>
      <c r="AL61" s="77">
        <f t="shared" ca="1" si="16"/>
        <v>500000000</v>
      </c>
      <c r="AM61" s="77">
        <f t="shared" ca="1" si="16"/>
        <v>500000000</v>
      </c>
      <c r="AN61" s="76">
        <f t="shared" ca="1" si="16"/>
        <v>500000000</v>
      </c>
      <c r="AO61" s="77">
        <f t="shared" ca="1" si="16"/>
        <v>500000000</v>
      </c>
      <c r="AP61" s="77">
        <f t="shared" ca="1" si="16"/>
        <v>500000000</v>
      </c>
      <c r="AQ61" s="77">
        <f t="shared" ca="1" si="16"/>
        <v>500000000</v>
      </c>
    </row>
    <row r="62" spans="3:43" ht="12.75" customHeight="1" x14ac:dyDescent="0.15">
      <c r="D62" s="77" t="s">
        <v>298</v>
      </c>
      <c r="J62" s="76">
        <f ca="1">J25</f>
        <v>-9732754.4038212392</v>
      </c>
      <c r="K62" s="77">
        <f t="shared" ref="K62:AQ62" ca="1" si="17">J62+K25</f>
        <v>-22430052.864763696</v>
      </c>
      <c r="L62" s="77">
        <f t="shared" ca="1" si="17"/>
        <v>-36737621.807320461</v>
      </c>
      <c r="M62" s="77">
        <f t="shared" ca="1" si="17"/>
        <v>-51852497.577153318</v>
      </c>
      <c r="N62" s="77">
        <f t="shared" ca="1" si="17"/>
        <v>-66453144.564909905</v>
      </c>
      <c r="O62" s="76">
        <f t="shared" ca="1" si="17"/>
        <v>-81132699.545010135</v>
      </c>
      <c r="P62" s="77">
        <f t="shared" ca="1" si="17"/>
        <v>-95918726.926745713</v>
      </c>
      <c r="Q62" s="77">
        <f t="shared" ca="1" si="17"/>
        <v>-110743623.00110997</v>
      </c>
      <c r="R62" s="77">
        <f t="shared" ca="1" si="17"/>
        <v>-125336346.67392091</v>
      </c>
      <c r="S62" s="77">
        <f t="shared" ca="1" si="17"/>
        <v>-139975924.10111907</v>
      </c>
      <c r="T62" s="76">
        <f t="shared" ca="1" si="17"/>
        <v>-154714185.45974439</v>
      </c>
      <c r="U62" s="77">
        <f t="shared" ca="1" si="17"/>
        <v>-169487022.30210513</v>
      </c>
      <c r="V62" s="77">
        <f t="shared" ca="1" si="17"/>
        <v>-184602660.61531401</v>
      </c>
      <c r="W62" s="77">
        <f t="shared" ca="1" si="17"/>
        <v>-199897906.03299609</v>
      </c>
      <c r="X62" s="77">
        <f t="shared" ca="1" si="17"/>
        <v>-215390911.95793483</v>
      </c>
      <c r="Y62" s="76">
        <f t="shared" ca="1" si="17"/>
        <v>-230976055.72818112</v>
      </c>
      <c r="Z62" s="77">
        <f t="shared" ca="1" si="17"/>
        <v>-246631008.75653657</v>
      </c>
      <c r="AA62" s="77">
        <f t="shared" ca="1" si="17"/>
        <v>-262638823.66452548</v>
      </c>
      <c r="AB62" s="77">
        <f t="shared" ca="1" si="17"/>
        <v>-278735777.44079995</v>
      </c>
      <c r="AC62" s="77">
        <f t="shared" ca="1" si="17"/>
        <v>-294955308.44452435</v>
      </c>
      <c r="AD62" s="76">
        <f t="shared" ca="1" si="17"/>
        <v>-311306434.91573483</v>
      </c>
      <c r="AE62" s="77">
        <f t="shared" ca="1" si="17"/>
        <v>-327798503.58022273</v>
      </c>
      <c r="AF62" s="77">
        <f t="shared" ca="1" si="17"/>
        <v>-344441199.56031716</v>
      </c>
      <c r="AG62" s="77">
        <f t="shared" ca="1" si="17"/>
        <v>-361244556.55925828</v>
      </c>
      <c r="AH62" s="77">
        <f t="shared" ca="1" si="17"/>
        <v>-378218967.32631034</v>
      </c>
      <c r="AI62" s="76">
        <f t="shared" ca="1" si="17"/>
        <v>-395375194.40998256</v>
      </c>
      <c r="AJ62" s="77">
        <f t="shared" ca="1" si="17"/>
        <v>-412724381.20689642</v>
      </c>
      <c r="AK62" s="77">
        <f t="shared" ca="1" si="17"/>
        <v>-430278063.31401372</v>
      </c>
      <c r="AL62" s="77">
        <f t="shared" ca="1" si="17"/>
        <v>-448048180.19217741</v>
      </c>
      <c r="AM62" s="77">
        <f t="shared" ca="1" si="17"/>
        <v>-466047087.14907175</v>
      </c>
      <c r="AN62" s="76">
        <f t="shared" ca="1" si="17"/>
        <v>-484287567.64994013</v>
      </c>
      <c r="AO62" s="77">
        <f t="shared" ca="1" si="17"/>
        <v>-502782845.96459967</v>
      </c>
      <c r="AP62" s="77">
        <f t="shared" ca="1" si="17"/>
        <v>-521546600.15951866</v>
      </c>
      <c r="AQ62" s="77">
        <f t="shared" ca="1" si="17"/>
        <v>-540592975.44392765</v>
      </c>
    </row>
    <row r="63" spans="3:43" ht="12.75" customHeight="1" x14ac:dyDescent="0.15">
      <c r="D63" s="77" t="s">
        <v>299</v>
      </c>
      <c r="J63" s="76">
        <f t="shared" ref="J63:AQ63" ca="1" si="18">SUM(J61:J62)</f>
        <v>490267245.59617877</v>
      </c>
      <c r="K63" s="77">
        <f t="shared" ca="1" si="18"/>
        <v>477569947.13523632</v>
      </c>
      <c r="L63" s="77">
        <f t="shared" ca="1" si="18"/>
        <v>463262378.19267952</v>
      </c>
      <c r="M63" s="77">
        <f t="shared" ca="1" si="18"/>
        <v>448147502.42284667</v>
      </c>
      <c r="N63" s="77">
        <f t="shared" ca="1" si="18"/>
        <v>433546855.43509007</v>
      </c>
      <c r="O63" s="76">
        <f t="shared" ca="1" si="18"/>
        <v>418867300.45498985</v>
      </c>
      <c r="P63" s="77">
        <f t="shared" ca="1" si="18"/>
        <v>404081273.07325429</v>
      </c>
      <c r="Q63" s="77">
        <f t="shared" ca="1" si="18"/>
        <v>389256376.99889004</v>
      </c>
      <c r="R63" s="77">
        <f t="shared" ca="1" si="18"/>
        <v>374663653.32607907</v>
      </c>
      <c r="S63" s="77">
        <f t="shared" ca="1" si="18"/>
        <v>360024075.89888096</v>
      </c>
      <c r="T63" s="76">
        <f t="shared" ca="1" si="18"/>
        <v>345285814.54025561</v>
      </c>
      <c r="U63" s="77">
        <f t="shared" ca="1" si="18"/>
        <v>330512977.69789487</v>
      </c>
      <c r="V63" s="77">
        <f t="shared" ca="1" si="18"/>
        <v>315397339.38468599</v>
      </c>
      <c r="W63" s="77">
        <f t="shared" ca="1" si="18"/>
        <v>300102093.96700394</v>
      </c>
      <c r="X63" s="77">
        <f t="shared" ca="1" si="18"/>
        <v>284609088.04206514</v>
      </c>
      <c r="Y63" s="76">
        <f t="shared" ca="1" si="18"/>
        <v>269023944.27181888</v>
      </c>
      <c r="Z63" s="77">
        <f t="shared" ca="1" si="18"/>
        <v>253368991.24346343</v>
      </c>
      <c r="AA63" s="77">
        <f t="shared" ca="1" si="18"/>
        <v>237361176.33547452</v>
      </c>
      <c r="AB63" s="77">
        <f t="shared" ca="1" si="18"/>
        <v>221264222.55920005</v>
      </c>
      <c r="AC63" s="77">
        <f t="shared" ca="1" si="18"/>
        <v>205044691.55547565</v>
      </c>
      <c r="AD63" s="76">
        <f t="shared" ca="1" si="18"/>
        <v>188693565.08426517</v>
      </c>
      <c r="AE63" s="77">
        <f t="shared" ca="1" si="18"/>
        <v>172201496.41977727</v>
      </c>
      <c r="AF63" s="77">
        <f t="shared" ca="1" si="18"/>
        <v>155558800.43968284</v>
      </c>
      <c r="AG63" s="77">
        <f t="shared" ca="1" si="18"/>
        <v>138755443.44074172</v>
      </c>
      <c r="AH63" s="77">
        <f t="shared" ca="1" si="18"/>
        <v>121781032.67368966</v>
      </c>
      <c r="AI63" s="76">
        <f t="shared" ca="1" si="18"/>
        <v>104624805.59001744</v>
      </c>
      <c r="AJ63" s="77">
        <f t="shared" ca="1" si="18"/>
        <v>87275618.793103576</v>
      </c>
      <c r="AK63" s="77">
        <f t="shared" ca="1" si="18"/>
        <v>69721936.68598628</v>
      </c>
      <c r="AL63" s="77">
        <f t="shared" ca="1" si="18"/>
        <v>51951819.807822585</v>
      </c>
      <c r="AM63" s="77">
        <f t="shared" ca="1" si="18"/>
        <v>33952912.850928247</v>
      </c>
      <c r="AN63" s="76">
        <f t="shared" ca="1" si="18"/>
        <v>15712432.350059867</v>
      </c>
      <c r="AO63" s="77">
        <f t="shared" ca="1" si="18"/>
        <v>-2782845.964599669</v>
      </c>
      <c r="AP63" s="77">
        <f t="shared" ca="1" si="18"/>
        <v>-21546600.159518659</v>
      </c>
      <c r="AQ63" s="77">
        <f t="shared" ca="1" si="18"/>
        <v>-40592975.443927646</v>
      </c>
    </row>
    <row r="64" spans="3:43" ht="12.75" customHeight="1" x14ac:dyDescent="0.15">
      <c r="J64" s="76"/>
      <c r="O64" s="76"/>
      <c r="T64" s="76"/>
      <c r="Y64" s="76"/>
      <c r="AD64" s="76"/>
      <c r="AI64" s="76"/>
      <c r="AN64" s="76"/>
    </row>
    <row r="65" spans="3:43" ht="12.75" customHeight="1" x14ac:dyDescent="0.15">
      <c r="C65" s="77" t="s">
        <v>300</v>
      </c>
      <c r="J65" s="76">
        <f t="shared" ref="J65:AQ65" ca="1" si="19">J54-SUM(J57,J63)</f>
        <v>0</v>
      </c>
      <c r="K65" s="77">
        <f t="shared" ca="1" si="19"/>
        <v>0</v>
      </c>
      <c r="L65" s="77">
        <f t="shared" ca="1" si="19"/>
        <v>0</v>
      </c>
      <c r="M65" s="77">
        <f t="shared" ca="1" si="19"/>
        <v>0</v>
      </c>
      <c r="N65" s="77">
        <f t="shared" ca="1" si="19"/>
        <v>0</v>
      </c>
      <c r="O65" s="76">
        <f t="shared" ca="1" si="19"/>
        <v>0</v>
      </c>
      <c r="P65" s="77">
        <f t="shared" ca="1" si="19"/>
        <v>0</v>
      </c>
      <c r="Q65" s="77">
        <f t="shared" ca="1" si="19"/>
        <v>0</v>
      </c>
      <c r="R65" s="77">
        <f t="shared" ca="1" si="19"/>
        <v>0</v>
      </c>
      <c r="S65" s="77">
        <f t="shared" ca="1" si="19"/>
        <v>0</v>
      </c>
      <c r="T65" s="76">
        <f t="shared" ca="1" si="19"/>
        <v>0</v>
      </c>
      <c r="U65" s="77">
        <f t="shared" ca="1" si="19"/>
        <v>0</v>
      </c>
      <c r="V65" s="77">
        <f t="shared" ca="1" si="19"/>
        <v>0</v>
      </c>
      <c r="W65" s="77">
        <f t="shared" ca="1" si="19"/>
        <v>0</v>
      </c>
      <c r="X65" s="77">
        <f t="shared" ca="1" si="19"/>
        <v>0</v>
      </c>
      <c r="Y65" s="76">
        <f t="shared" ca="1" si="19"/>
        <v>0</v>
      </c>
      <c r="Z65" s="77">
        <f t="shared" ca="1" si="19"/>
        <v>-2.384185791015625E-7</v>
      </c>
      <c r="AA65" s="77">
        <f t="shared" ca="1" si="19"/>
        <v>-2.384185791015625E-7</v>
      </c>
      <c r="AB65" s="77">
        <f t="shared" ca="1" si="19"/>
        <v>0</v>
      </c>
      <c r="AC65" s="77">
        <f t="shared" ca="1" si="19"/>
        <v>0</v>
      </c>
      <c r="AD65" s="76">
        <f t="shared" ca="1" si="19"/>
        <v>0</v>
      </c>
      <c r="AE65" s="77">
        <f t="shared" ca="1" si="19"/>
        <v>0</v>
      </c>
      <c r="AF65" s="77">
        <f t="shared" ca="1" si="19"/>
        <v>0</v>
      </c>
      <c r="AG65" s="77">
        <f t="shared" ca="1" si="19"/>
        <v>0</v>
      </c>
      <c r="AH65" s="77">
        <f t="shared" ca="1" si="19"/>
        <v>-1.6391277313232422E-7</v>
      </c>
      <c r="AI65" s="76">
        <f t="shared" ca="1" si="19"/>
        <v>-1.9371509552001953E-7</v>
      </c>
      <c r="AJ65" s="77">
        <f t="shared" ca="1" si="19"/>
        <v>-1.6391277313232422E-7</v>
      </c>
      <c r="AK65" s="77">
        <f t="shared" ca="1" si="19"/>
        <v>-1.4901161193847656E-7</v>
      </c>
      <c r="AL65" s="77">
        <f t="shared" ca="1" si="19"/>
        <v>-1.5646219253540039E-7</v>
      </c>
      <c r="AM65" s="77">
        <f t="shared" ca="1" si="19"/>
        <v>-1.5646219253540039E-7</v>
      </c>
      <c r="AN65" s="76">
        <f t="shared" ca="1" si="19"/>
        <v>-1.6950070858001709E-7</v>
      </c>
      <c r="AO65" s="77">
        <f t="shared" ca="1" si="19"/>
        <v>-1.7881393432617188E-7</v>
      </c>
      <c r="AP65" s="77">
        <f t="shared" ca="1" si="19"/>
        <v>-1.862645149230957E-7</v>
      </c>
      <c r="AQ65" s="77">
        <f t="shared" ca="1" si="19"/>
        <v>-2.2351741790771484E-7</v>
      </c>
    </row>
    <row r="66" spans="3:43" ht="12.75" customHeight="1" x14ac:dyDescent="0.15">
      <c r="J66" s="76"/>
      <c r="O66" s="76"/>
      <c r="T66" s="76"/>
      <c r="Y66" s="76"/>
      <c r="AD66" s="76"/>
      <c r="AI66" s="76"/>
      <c r="AN66" s="76"/>
    </row>
    <row r="67" spans="3:43" s="91" customFormat="1" ht="12.75" customHeight="1" x14ac:dyDescent="0.15">
      <c r="C67" s="77" t="s">
        <v>301</v>
      </c>
      <c r="J67" s="76">
        <v>0</v>
      </c>
      <c r="K67" s="77">
        <f t="shared" ref="K67:AQ67" ca="1" si="20">J70</f>
        <v>9732754.4038212392</v>
      </c>
      <c r="L67" s="77">
        <f t="shared" ca="1" si="20"/>
        <v>22430052.864763696</v>
      </c>
      <c r="M67" s="77">
        <f t="shared" ca="1" si="20"/>
        <v>36737621.807320461</v>
      </c>
      <c r="N67" s="77">
        <f t="shared" ca="1" si="20"/>
        <v>51852497.577153318</v>
      </c>
      <c r="O67" s="76">
        <f t="shared" ca="1" si="20"/>
        <v>66453144.564909905</v>
      </c>
      <c r="P67" s="77">
        <f t="shared" ca="1" si="20"/>
        <v>81132699.545010135</v>
      </c>
      <c r="Q67" s="77">
        <f t="shared" ca="1" si="20"/>
        <v>95918726.926745713</v>
      </c>
      <c r="R67" s="77">
        <f t="shared" ca="1" si="20"/>
        <v>110743623.00110997</v>
      </c>
      <c r="S67" s="77">
        <f t="shared" ca="1" si="20"/>
        <v>125336346.67392091</v>
      </c>
      <c r="T67" s="76">
        <f t="shared" ca="1" si="20"/>
        <v>139975924.10111907</v>
      </c>
      <c r="U67" s="77">
        <f t="shared" ca="1" si="20"/>
        <v>154714185.45974439</v>
      </c>
      <c r="V67" s="77">
        <f t="shared" ca="1" si="20"/>
        <v>169487022.30210513</v>
      </c>
      <c r="W67" s="77">
        <f t="shared" ca="1" si="20"/>
        <v>184602660.61531401</v>
      </c>
      <c r="X67" s="77">
        <f t="shared" ca="1" si="20"/>
        <v>199897906.03299609</v>
      </c>
      <c r="Y67" s="76">
        <f t="shared" ca="1" si="20"/>
        <v>215390911.95793483</v>
      </c>
      <c r="Z67" s="77">
        <f t="shared" ca="1" si="20"/>
        <v>230976055.72818112</v>
      </c>
      <c r="AA67" s="77">
        <f t="shared" ca="1" si="20"/>
        <v>246631008.75653657</v>
      </c>
      <c r="AB67" s="77">
        <f t="shared" ca="1" si="20"/>
        <v>262638823.66452548</v>
      </c>
      <c r="AC67" s="77">
        <f t="shared" ca="1" si="20"/>
        <v>278735777.44079995</v>
      </c>
      <c r="AD67" s="76">
        <f t="shared" ca="1" si="20"/>
        <v>294955308.44452435</v>
      </c>
      <c r="AE67" s="77">
        <f t="shared" ca="1" si="20"/>
        <v>311306434.91573483</v>
      </c>
      <c r="AF67" s="77">
        <f t="shared" ca="1" si="20"/>
        <v>327798503.58022273</v>
      </c>
      <c r="AG67" s="77">
        <f t="shared" ca="1" si="20"/>
        <v>344441199.56031716</v>
      </c>
      <c r="AH67" s="77">
        <f t="shared" ca="1" si="20"/>
        <v>361244556.55925828</v>
      </c>
      <c r="AI67" s="76">
        <f t="shared" ca="1" si="20"/>
        <v>378218967.32631034</v>
      </c>
      <c r="AJ67" s="77">
        <f t="shared" ca="1" si="20"/>
        <v>395375194.40998256</v>
      </c>
      <c r="AK67" s="77">
        <f t="shared" ca="1" si="20"/>
        <v>412724381.20689642</v>
      </c>
      <c r="AL67" s="77">
        <f t="shared" ca="1" si="20"/>
        <v>430278063.31401372</v>
      </c>
      <c r="AM67" s="77">
        <f t="shared" ca="1" si="20"/>
        <v>448048180.19217741</v>
      </c>
      <c r="AN67" s="76">
        <f t="shared" ca="1" si="20"/>
        <v>466047087.14907175</v>
      </c>
      <c r="AO67" s="77">
        <f t="shared" ca="1" si="20"/>
        <v>484287567.64994013</v>
      </c>
      <c r="AP67" s="77">
        <f t="shared" ca="1" si="20"/>
        <v>502782845.96459967</v>
      </c>
      <c r="AQ67" s="77">
        <f t="shared" ca="1" si="20"/>
        <v>521546600.15951866</v>
      </c>
    </row>
    <row r="68" spans="3:43" s="91" customFormat="1" ht="12.75" customHeight="1" x14ac:dyDescent="0.15">
      <c r="C68" s="77" t="s">
        <v>302</v>
      </c>
      <c r="J68" s="76">
        <f t="shared" ref="J68:AQ68" ca="1" si="21">MAX(0,J22-J67)</f>
        <v>0</v>
      </c>
      <c r="K68" s="77">
        <f t="shared" ca="1" si="21"/>
        <v>0</v>
      </c>
      <c r="L68" s="77">
        <f t="shared" ca="1" si="21"/>
        <v>0</v>
      </c>
      <c r="M68" s="77">
        <f t="shared" ca="1" si="21"/>
        <v>0</v>
      </c>
      <c r="N68" s="77">
        <f t="shared" ca="1" si="21"/>
        <v>0</v>
      </c>
      <c r="O68" s="76">
        <f t="shared" ca="1" si="21"/>
        <v>0</v>
      </c>
      <c r="P68" s="77">
        <f t="shared" ca="1" si="21"/>
        <v>0</v>
      </c>
      <c r="Q68" s="77">
        <f t="shared" ca="1" si="21"/>
        <v>0</v>
      </c>
      <c r="R68" s="77">
        <f t="shared" ca="1" si="21"/>
        <v>0</v>
      </c>
      <c r="S68" s="77">
        <f t="shared" ca="1" si="21"/>
        <v>0</v>
      </c>
      <c r="T68" s="76">
        <f t="shared" ca="1" si="21"/>
        <v>0</v>
      </c>
      <c r="U68" s="77">
        <f t="shared" ca="1" si="21"/>
        <v>0</v>
      </c>
      <c r="V68" s="77">
        <f t="shared" ca="1" si="21"/>
        <v>0</v>
      </c>
      <c r="W68" s="77">
        <f t="shared" ca="1" si="21"/>
        <v>0</v>
      </c>
      <c r="X68" s="77">
        <f t="shared" ca="1" si="21"/>
        <v>0</v>
      </c>
      <c r="Y68" s="76">
        <f t="shared" ca="1" si="21"/>
        <v>0</v>
      </c>
      <c r="Z68" s="77">
        <f t="shared" ca="1" si="21"/>
        <v>0</v>
      </c>
      <c r="AA68" s="77">
        <f t="shared" ca="1" si="21"/>
        <v>0</v>
      </c>
      <c r="AB68" s="77">
        <f t="shared" ca="1" si="21"/>
        <v>0</v>
      </c>
      <c r="AC68" s="77">
        <f t="shared" ca="1" si="21"/>
        <v>0</v>
      </c>
      <c r="AD68" s="76">
        <f t="shared" ca="1" si="21"/>
        <v>0</v>
      </c>
      <c r="AE68" s="77">
        <f t="shared" ca="1" si="21"/>
        <v>0</v>
      </c>
      <c r="AF68" s="77">
        <f t="shared" ca="1" si="21"/>
        <v>0</v>
      </c>
      <c r="AG68" s="77">
        <f t="shared" ca="1" si="21"/>
        <v>0</v>
      </c>
      <c r="AH68" s="77">
        <f t="shared" ca="1" si="21"/>
        <v>0</v>
      </c>
      <c r="AI68" s="76">
        <f t="shared" ca="1" si="21"/>
        <v>0</v>
      </c>
      <c r="AJ68" s="77">
        <f t="shared" ca="1" si="21"/>
        <v>0</v>
      </c>
      <c r="AK68" s="77">
        <f t="shared" ca="1" si="21"/>
        <v>0</v>
      </c>
      <c r="AL68" s="77">
        <f t="shared" ca="1" si="21"/>
        <v>0</v>
      </c>
      <c r="AM68" s="77">
        <f t="shared" ca="1" si="21"/>
        <v>0</v>
      </c>
      <c r="AN68" s="76">
        <f t="shared" ca="1" si="21"/>
        <v>0</v>
      </c>
      <c r="AO68" s="77">
        <f t="shared" ca="1" si="21"/>
        <v>0</v>
      </c>
      <c r="AP68" s="77">
        <f t="shared" ca="1" si="21"/>
        <v>0</v>
      </c>
      <c r="AQ68" s="77">
        <f t="shared" ca="1" si="21"/>
        <v>0</v>
      </c>
    </row>
    <row r="69" spans="3:43" s="91" customFormat="1" ht="12.75" customHeight="1" x14ac:dyDescent="0.15">
      <c r="C69" s="77" t="s">
        <v>303</v>
      </c>
      <c r="J69" s="76">
        <f t="shared" ref="J69:AQ69" ca="1" si="22">MIN(J67,MAX(J22,0))</f>
        <v>0</v>
      </c>
      <c r="K69" s="77">
        <f t="shared" ca="1" si="22"/>
        <v>0</v>
      </c>
      <c r="L69" s="77">
        <f t="shared" ca="1" si="22"/>
        <v>0</v>
      </c>
      <c r="M69" s="77">
        <f t="shared" ca="1" si="22"/>
        <v>0</v>
      </c>
      <c r="N69" s="77">
        <f t="shared" ca="1" si="22"/>
        <v>0</v>
      </c>
      <c r="O69" s="76">
        <f t="shared" ca="1" si="22"/>
        <v>0</v>
      </c>
      <c r="P69" s="77">
        <f t="shared" ca="1" si="22"/>
        <v>0</v>
      </c>
      <c r="Q69" s="77">
        <f t="shared" ca="1" si="22"/>
        <v>0</v>
      </c>
      <c r="R69" s="77">
        <f t="shared" ca="1" si="22"/>
        <v>0</v>
      </c>
      <c r="S69" s="77">
        <f t="shared" ca="1" si="22"/>
        <v>0</v>
      </c>
      <c r="T69" s="76">
        <f t="shared" ca="1" si="22"/>
        <v>0</v>
      </c>
      <c r="U69" s="77">
        <f t="shared" ca="1" si="22"/>
        <v>0</v>
      </c>
      <c r="V69" s="77">
        <f t="shared" ca="1" si="22"/>
        <v>0</v>
      </c>
      <c r="W69" s="77">
        <f t="shared" ca="1" si="22"/>
        <v>0</v>
      </c>
      <c r="X69" s="77">
        <f t="shared" ca="1" si="22"/>
        <v>0</v>
      </c>
      <c r="Y69" s="76">
        <f t="shared" ca="1" si="22"/>
        <v>0</v>
      </c>
      <c r="Z69" s="77">
        <f t="shared" ca="1" si="22"/>
        <v>0</v>
      </c>
      <c r="AA69" s="77">
        <f t="shared" ca="1" si="22"/>
        <v>0</v>
      </c>
      <c r="AB69" s="77">
        <f t="shared" ca="1" si="22"/>
        <v>0</v>
      </c>
      <c r="AC69" s="77">
        <f t="shared" ca="1" si="22"/>
        <v>0</v>
      </c>
      <c r="AD69" s="76">
        <f t="shared" ca="1" si="22"/>
        <v>0</v>
      </c>
      <c r="AE69" s="77">
        <f t="shared" ca="1" si="22"/>
        <v>0</v>
      </c>
      <c r="AF69" s="77">
        <f t="shared" ca="1" si="22"/>
        <v>0</v>
      </c>
      <c r="AG69" s="77">
        <f t="shared" ca="1" si="22"/>
        <v>0</v>
      </c>
      <c r="AH69" s="77">
        <f t="shared" ca="1" si="22"/>
        <v>0</v>
      </c>
      <c r="AI69" s="76">
        <f t="shared" ca="1" si="22"/>
        <v>0</v>
      </c>
      <c r="AJ69" s="77">
        <f t="shared" ca="1" si="22"/>
        <v>0</v>
      </c>
      <c r="AK69" s="77">
        <f t="shared" ca="1" si="22"/>
        <v>0</v>
      </c>
      <c r="AL69" s="77">
        <f t="shared" ca="1" si="22"/>
        <v>0</v>
      </c>
      <c r="AM69" s="77">
        <f t="shared" ca="1" si="22"/>
        <v>0</v>
      </c>
      <c r="AN69" s="76">
        <f t="shared" ca="1" si="22"/>
        <v>0</v>
      </c>
      <c r="AO69" s="77">
        <f t="shared" ca="1" si="22"/>
        <v>0</v>
      </c>
      <c r="AP69" s="77">
        <f t="shared" ca="1" si="22"/>
        <v>0</v>
      </c>
      <c r="AQ69" s="77">
        <f t="shared" ca="1" si="22"/>
        <v>0</v>
      </c>
    </row>
    <row r="70" spans="3:43" s="91" customFormat="1" ht="12.75" customHeight="1" x14ac:dyDescent="0.15">
      <c r="C70" s="77" t="s">
        <v>304</v>
      </c>
      <c r="J70" s="76">
        <f t="shared" ref="J70:AQ70" ca="1" si="23">J67-J69+MAX(0,-J22)</f>
        <v>9732754.4038212392</v>
      </c>
      <c r="K70" s="77">
        <f t="shared" ca="1" si="23"/>
        <v>22430052.864763696</v>
      </c>
      <c r="L70" s="77">
        <f t="shared" ca="1" si="23"/>
        <v>36737621.807320461</v>
      </c>
      <c r="M70" s="77">
        <f t="shared" ca="1" si="23"/>
        <v>51852497.577153318</v>
      </c>
      <c r="N70" s="77">
        <f t="shared" ca="1" si="23"/>
        <v>66453144.564909905</v>
      </c>
      <c r="O70" s="76">
        <f t="shared" ca="1" si="23"/>
        <v>81132699.545010135</v>
      </c>
      <c r="P70" s="77">
        <f t="shared" ca="1" si="23"/>
        <v>95918726.926745713</v>
      </c>
      <c r="Q70" s="77">
        <f t="shared" ca="1" si="23"/>
        <v>110743623.00110997</v>
      </c>
      <c r="R70" s="77">
        <f t="shared" ca="1" si="23"/>
        <v>125336346.67392091</v>
      </c>
      <c r="S70" s="77">
        <f t="shared" ca="1" si="23"/>
        <v>139975924.10111907</v>
      </c>
      <c r="T70" s="76">
        <f t="shared" ca="1" si="23"/>
        <v>154714185.45974439</v>
      </c>
      <c r="U70" s="77">
        <f t="shared" ca="1" si="23"/>
        <v>169487022.30210513</v>
      </c>
      <c r="V70" s="77">
        <f t="shared" ca="1" si="23"/>
        <v>184602660.61531401</v>
      </c>
      <c r="W70" s="77">
        <f t="shared" ca="1" si="23"/>
        <v>199897906.03299609</v>
      </c>
      <c r="X70" s="77">
        <f t="shared" ca="1" si="23"/>
        <v>215390911.95793483</v>
      </c>
      <c r="Y70" s="76">
        <f t="shared" ca="1" si="23"/>
        <v>230976055.72818112</v>
      </c>
      <c r="Z70" s="77">
        <f t="shared" ca="1" si="23"/>
        <v>246631008.75653657</v>
      </c>
      <c r="AA70" s="77">
        <f t="shared" ca="1" si="23"/>
        <v>262638823.66452548</v>
      </c>
      <c r="AB70" s="77">
        <f t="shared" ca="1" si="23"/>
        <v>278735777.44079995</v>
      </c>
      <c r="AC70" s="77">
        <f t="shared" ca="1" si="23"/>
        <v>294955308.44452435</v>
      </c>
      <c r="AD70" s="76">
        <f t="shared" ca="1" si="23"/>
        <v>311306434.91573483</v>
      </c>
      <c r="AE70" s="77">
        <f t="shared" ca="1" si="23"/>
        <v>327798503.58022273</v>
      </c>
      <c r="AF70" s="77">
        <f t="shared" ca="1" si="23"/>
        <v>344441199.56031716</v>
      </c>
      <c r="AG70" s="77">
        <f t="shared" ca="1" si="23"/>
        <v>361244556.55925828</v>
      </c>
      <c r="AH70" s="77">
        <f t="shared" ca="1" si="23"/>
        <v>378218967.32631034</v>
      </c>
      <c r="AI70" s="76">
        <f t="shared" ca="1" si="23"/>
        <v>395375194.40998256</v>
      </c>
      <c r="AJ70" s="77">
        <f t="shared" ca="1" si="23"/>
        <v>412724381.20689642</v>
      </c>
      <c r="AK70" s="77">
        <f t="shared" ca="1" si="23"/>
        <v>430278063.31401372</v>
      </c>
      <c r="AL70" s="77">
        <f t="shared" ca="1" si="23"/>
        <v>448048180.19217741</v>
      </c>
      <c r="AM70" s="77">
        <f t="shared" ca="1" si="23"/>
        <v>466047087.14907175</v>
      </c>
      <c r="AN70" s="76">
        <f t="shared" ca="1" si="23"/>
        <v>484287567.64994013</v>
      </c>
      <c r="AO70" s="77">
        <f t="shared" ca="1" si="23"/>
        <v>502782845.96459967</v>
      </c>
      <c r="AP70" s="77">
        <f t="shared" ca="1" si="23"/>
        <v>521546600.15951866</v>
      </c>
      <c r="AQ70" s="77">
        <f t="shared" ca="1" si="23"/>
        <v>540592975.44392765</v>
      </c>
    </row>
    <row r="71" spans="3:43" ht="12.75" customHeight="1" x14ac:dyDescent="0.15">
      <c r="J71" s="76"/>
      <c r="O71" s="76"/>
      <c r="T71" s="76"/>
      <c r="Y71" s="76"/>
      <c r="AD71" s="76"/>
      <c r="AI71" s="76"/>
      <c r="AN71" s="76"/>
    </row>
    <row r="72" spans="3:43" s="91" customFormat="1" ht="12.75" customHeight="1" x14ac:dyDescent="0.15">
      <c r="C72" s="187" t="s">
        <v>305</v>
      </c>
      <c r="J72" s="76">
        <f ca="1">(J18-J20)*(1-Ass.!$D$37)+J20-J37</f>
        <v>9367100.8638007361</v>
      </c>
      <c r="K72" s="77">
        <f ca="1">(K18-K20)*(1-Ass.!$D$37)+K20-K37</f>
        <v>7143692.8209598232</v>
      </c>
      <c r="L72" s="77">
        <f ca="1">(L18-L20)*(1-Ass.!$D$37)+L20-L37</f>
        <v>5935989.9597490933</v>
      </c>
      <c r="M72" s="77">
        <f ca="1">(M18-M20)*(1-Ass.!$D$37)+M20-M37</f>
        <v>5330509.8392920215</v>
      </c>
      <c r="N72" s="77">
        <f ca="1">(N18-N20)*(1-Ass.!$D$37)+N20-N37</f>
        <v>5716181.4258492235</v>
      </c>
      <c r="O72" s="76">
        <f ca="1">(O18-O20)*(1-Ass.!$D$37)+O20-O37</f>
        <v>5657000.4315914977</v>
      </c>
      <c r="P72" s="77">
        <f ca="1">(P18-P20)*(1-Ass.!$D$37)+P20-P37</f>
        <v>5577146.1303649861</v>
      </c>
      <c r="Q72" s="77">
        <f ca="1">(Q18-Q20)*(1-Ass.!$D$37)+Q20-Q37</f>
        <v>5547994.6108934749</v>
      </c>
      <c r="R72" s="77">
        <f ca="1">(R18-R20)*(1-Ass.!$D$37)+R20-R37</f>
        <v>5722123.9120584633</v>
      </c>
      <c r="S72" s="77">
        <f ca="1">(S18-S20)*(1-Ass.!$D$37)+S20-S37</f>
        <v>5686983.5962680522</v>
      </c>
      <c r="T72" s="76">
        <f ca="1">(T18-T20)*(1-Ass.!$D$37)+T20-T37</f>
        <v>5612970.6476976778</v>
      </c>
      <c r="U72" s="77">
        <f ca="1">(U18-U20)*(1-Ass.!$D$37)+U20-U37</f>
        <v>5587039.0348961074</v>
      </c>
      <c r="V72" s="77">
        <f ca="1">(V18-V20)*(1-Ass.!$D$37)+V20-V37</f>
        <v>5329937.9317600112</v>
      </c>
      <c r="W72" s="77">
        <f ca="1">(W18-W20)*(1-Ass.!$D$37)+W20-W37</f>
        <v>5195232.6034051087</v>
      </c>
      <c r="X72" s="77">
        <f ca="1">(X18-X20)*(1-Ass.!$D$37)+X20-X37</f>
        <v>5046912.2229626048</v>
      </c>
      <c r="Y72" s="76">
        <f ca="1">(Y18-Y20)*(1-Ass.!$D$37)+Y20-Y37</f>
        <v>4977808.8389819358</v>
      </c>
      <c r="Z72" s="77">
        <f ca="1">(Z18-Z20)*(1-Ass.!$D$37)+Z20-Z37</f>
        <v>4925451.8954000715</v>
      </c>
      <c r="AA72" s="77">
        <f ca="1">(AA18-AA20)*(1-Ass.!$D$37)+AA20-AA37</f>
        <v>4660805.4856749792</v>
      </c>
      <c r="AB72" s="77">
        <f ca="1">(AB18-AB20)*(1-Ass.!$D$37)+AB20-AB37</f>
        <v>4593951.3344608266</v>
      </c>
      <c r="AC72" s="77">
        <f ca="1">(AC18-AC20)*(1-Ass.!$D$37)+AC20-AC37</f>
        <v>4502018.4138733614</v>
      </c>
      <c r="AD72" s="76">
        <f ca="1">(AD18-AD20)*(1-Ass.!$D$37)+AD20-AD37</f>
        <v>4403321.8132588211</v>
      </c>
      <c r="AE72" s="77">
        <f ca="1">(AE18-AE20)*(1-Ass.!$D$37)+AE20-AE37</f>
        <v>4297615.1683007572</v>
      </c>
      <c r="AF72" s="77">
        <f ca="1">(AF18-AF20)*(1-Ass.!$D$37)+AF20-AF37</f>
        <v>4184644.6815958451</v>
      </c>
      <c r="AG72" s="77">
        <f ca="1">(AG18-AG20)*(1-Ass.!$D$37)+AG20-AG37</f>
        <v>4064148.9174608178</v>
      </c>
      <c r="AH72" s="77">
        <f ca="1">(AH18-AH20)*(1-Ass.!$D$37)+AH20-AH37</f>
        <v>3935858.5913776197</v>
      </c>
      <c r="AI72" s="76">
        <f ca="1">(AI18-AI20)*(1-Ass.!$D$37)+AI20-AI37</f>
        <v>3799496.3539124914</v>
      </c>
      <c r="AJ72" s="77">
        <f ca="1">(AJ18-AJ20)*(1-Ass.!$D$37)+AJ20-AJ37</f>
        <v>3654776.5689812861</v>
      </c>
      <c r="AK72" s="77">
        <f ca="1">(AK18-AK20)*(1-Ass.!$D$37)+AK20-AK37</f>
        <v>3501405.0863287114</v>
      </c>
      <c r="AL72" s="77">
        <f ca="1">(AL18-AL20)*(1-Ass.!$D$37)+AL20-AL37</f>
        <v>3339079.008043889</v>
      </c>
      <c r="AM72" s="77">
        <f ca="1">(AM18-AM20)*(1-Ass.!$D$37)+AM20-AM37</f>
        <v>3167486.4489959069</v>
      </c>
      <c r="AN72" s="76">
        <f ca="1">(AN18-AN20)*(1-Ass.!$D$37)+AN20-AN37</f>
        <v>2986306.2910153754</v>
      </c>
      <c r="AO72" s="77">
        <f ca="1">(AO18-AO20)*(1-Ass.!$D$37)+AO20-AO37</f>
        <v>2795207.9306720085</v>
      </c>
      <c r="AP72" s="77">
        <f ca="1">(AP18-AP20)*(1-Ass.!$D$37)+AP20-AP37</f>
        <v>2593851.0204774179</v>
      </c>
      <c r="AQ72" s="77">
        <f ca="1">(AQ18-AQ20)*(1-Ass.!$D$37)+AQ20-AQ37</f>
        <v>2381885.2033598982</v>
      </c>
    </row>
    <row r="73" spans="3:43" ht="12.75" customHeight="1" x14ac:dyDescent="0.15">
      <c r="J73" s="76"/>
      <c r="O73" s="76"/>
      <c r="T73" s="76"/>
      <c r="Y73" s="76"/>
      <c r="AD73" s="76"/>
      <c r="AI73" s="76"/>
      <c r="AN73" s="76"/>
    </row>
    <row r="74" spans="3:43" ht="12.75" customHeight="1" x14ac:dyDescent="0.15">
      <c r="J74" s="76"/>
      <c r="O74" s="76"/>
      <c r="T74" s="76"/>
      <c r="Y74" s="76"/>
      <c r="AD74" s="76"/>
      <c r="AI74" s="76"/>
      <c r="AN74" s="76"/>
    </row>
    <row r="75" spans="3:43" ht="12.75" customHeight="1" x14ac:dyDescent="0.15">
      <c r="J75" s="76"/>
      <c r="O75" s="76"/>
      <c r="T75" s="76"/>
      <c r="Y75" s="76"/>
      <c r="AD75" s="76"/>
      <c r="AI75" s="76"/>
      <c r="AN75" s="76"/>
    </row>
    <row r="76" spans="3:43" ht="12.75" customHeight="1" x14ac:dyDescent="0.15">
      <c r="J76" s="76"/>
      <c r="O76" s="76"/>
      <c r="T76" s="76"/>
      <c r="Y76" s="76"/>
      <c r="AD76" s="76"/>
      <c r="AI76" s="76"/>
      <c r="AN76" s="76"/>
    </row>
    <row r="77" spans="3:43" ht="12.75" customHeight="1" x14ac:dyDescent="0.15">
      <c r="J77" s="76"/>
      <c r="O77" s="76"/>
      <c r="T77" s="76"/>
      <c r="Y77" s="76"/>
      <c r="AD77" s="76"/>
      <c r="AI77" s="76"/>
      <c r="AN77" s="76"/>
    </row>
    <row r="78" spans="3:43" ht="12.75" customHeight="1" x14ac:dyDescent="0.15">
      <c r="J78" s="76"/>
      <c r="O78" s="76"/>
      <c r="T78" s="76"/>
      <c r="Y78" s="76"/>
      <c r="AD78" s="76"/>
      <c r="AI78" s="76"/>
      <c r="AN78" s="76"/>
    </row>
    <row r="79" spans="3:43" ht="12.75" customHeight="1" x14ac:dyDescent="0.15">
      <c r="J79" s="76"/>
      <c r="O79" s="76"/>
      <c r="T79" s="76"/>
      <c r="Y79" s="76"/>
      <c r="AD79" s="76"/>
      <c r="AI79" s="76"/>
      <c r="AN79" s="76"/>
    </row>
  </sheetData>
  <pageMargins left="0.7" right="0.7" top="0.75" bottom="0.75" header="0.511811023622047" footer="0.511811023622047"/>
  <pageSetup paperSize="9"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08080"/>
    <pageSetUpPr fitToPage="1"/>
  </sheetPr>
  <dimension ref="B3:AQ27"/>
  <sheetViews>
    <sheetView showGridLines="0" zoomScaleNormal="100" workbookViewId="0">
      <pane xSplit="9" ySplit="5" topLeftCell="J6" activePane="bottomRight" state="frozen"/>
      <selection pane="topRight" activeCell="J1" sqref="J1"/>
      <selection pane="bottomLeft" activeCell="A6" sqref="A6"/>
      <selection pane="bottomRight" activeCell="J7" sqref="J7"/>
    </sheetView>
  </sheetViews>
  <sheetFormatPr baseColWidth="10" defaultColWidth="8.6640625" defaultRowHeight="13" x14ac:dyDescent="0.15"/>
  <cols>
    <col min="3" max="3" width="15" customWidth="1"/>
    <col min="7" max="7" width="12.33203125" customWidth="1"/>
    <col min="10" max="43" width="11.5" customWidth="1"/>
  </cols>
  <sheetData>
    <row r="3" spans="2:43" ht="12.75" customHeight="1" x14ac:dyDescent="0.15">
      <c r="H3" t="s">
        <v>205</v>
      </c>
    </row>
    <row r="4" spans="2:43" ht="12.75" customHeight="1" x14ac:dyDescent="0.15">
      <c r="H4" t="s">
        <v>206</v>
      </c>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row>
    <row r="5" spans="2:43" ht="12.75" customHeight="1" x14ac:dyDescent="0.15">
      <c r="H5" t="s">
        <v>207</v>
      </c>
      <c r="J5" s="32">
        <v>2027</v>
      </c>
      <c r="K5" s="33">
        <f t="shared" ref="K5:AQ5" si="0">J5+1</f>
        <v>2028</v>
      </c>
      <c r="L5" s="33">
        <f t="shared" si="0"/>
        <v>2029</v>
      </c>
      <c r="M5" s="33">
        <f t="shared" si="0"/>
        <v>2030</v>
      </c>
      <c r="N5" s="33">
        <f t="shared" si="0"/>
        <v>2031</v>
      </c>
      <c r="O5" s="32">
        <f t="shared" si="0"/>
        <v>2032</v>
      </c>
      <c r="P5" s="33">
        <f t="shared" si="0"/>
        <v>2033</v>
      </c>
      <c r="Q5" s="33">
        <f t="shared" si="0"/>
        <v>2034</v>
      </c>
      <c r="R5" s="33">
        <f t="shared" si="0"/>
        <v>2035</v>
      </c>
      <c r="S5" s="33">
        <f t="shared" si="0"/>
        <v>2036</v>
      </c>
      <c r="T5" s="32">
        <f t="shared" si="0"/>
        <v>2037</v>
      </c>
      <c r="U5" s="33">
        <f t="shared" si="0"/>
        <v>2038</v>
      </c>
      <c r="V5" s="33">
        <f t="shared" si="0"/>
        <v>2039</v>
      </c>
      <c r="W5" s="33">
        <f t="shared" si="0"/>
        <v>2040</v>
      </c>
      <c r="X5" s="33">
        <f t="shared" si="0"/>
        <v>2041</v>
      </c>
      <c r="Y5" s="32">
        <f t="shared" si="0"/>
        <v>2042</v>
      </c>
      <c r="Z5" s="33">
        <f t="shared" si="0"/>
        <v>2043</v>
      </c>
      <c r="AA5" s="33">
        <f t="shared" si="0"/>
        <v>2044</v>
      </c>
      <c r="AB5" s="33">
        <f t="shared" si="0"/>
        <v>2045</v>
      </c>
      <c r="AC5" s="33">
        <f t="shared" si="0"/>
        <v>2046</v>
      </c>
      <c r="AD5" s="32">
        <f t="shared" si="0"/>
        <v>2047</v>
      </c>
      <c r="AE5" s="33">
        <f t="shared" si="0"/>
        <v>2048</v>
      </c>
      <c r="AF5" s="33">
        <f t="shared" si="0"/>
        <v>2049</v>
      </c>
      <c r="AG5" s="33">
        <f t="shared" si="0"/>
        <v>2050</v>
      </c>
      <c r="AH5" s="33">
        <f t="shared" si="0"/>
        <v>2051</v>
      </c>
      <c r="AI5" s="32">
        <f t="shared" si="0"/>
        <v>2052</v>
      </c>
      <c r="AJ5" s="33">
        <f t="shared" si="0"/>
        <v>2053</v>
      </c>
      <c r="AK5" s="33">
        <f t="shared" si="0"/>
        <v>2054</v>
      </c>
      <c r="AL5" s="33">
        <f t="shared" si="0"/>
        <v>2055</v>
      </c>
      <c r="AM5" s="33">
        <f t="shared" si="0"/>
        <v>2056</v>
      </c>
      <c r="AN5" s="32">
        <f t="shared" si="0"/>
        <v>2057</v>
      </c>
      <c r="AO5" s="33">
        <f t="shared" si="0"/>
        <v>2058</v>
      </c>
      <c r="AP5" s="33">
        <f t="shared" si="0"/>
        <v>2059</v>
      </c>
      <c r="AQ5" s="33">
        <f t="shared" si="0"/>
        <v>2060</v>
      </c>
    </row>
    <row r="6" spans="2:43" ht="12.75" customHeight="1" x14ac:dyDescent="0.15">
      <c r="J6" s="34"/>
      <c r="O6" s="34"/>
      <c r="T6" s="34"/>
      <c r="Y6" s="34"/>
      <c r="AD6" s="34"/>
      <c r="AI6" s="34"/>
      <c r="AN6" s="34"/>
    </row>
    <row r="7" spans="2:43" ht="12.75" customHeight="1" x14ac:dyDescent="0.15">
      <c r="B7" t="s">
        <v>96</v>
      </c>
      <c r="J7" s="42">
        <f>Ass.!K43</f>
        <v>0.03</v>
      </c>
      <c r="K7" s="29">
        <f>Ass.!L43</f>
        <v>2.9000000000000001E-2</v>
      </c>
      <c r="L7" s="29">
        <f>Ass.!M43</f>
        <v>2.7E-2</v>
      </c>
      <c r="M7" s="29">
        <f>Ass.!N43</f>
        <v>2.7199999999999998E-2</v>
      </c>
      <c r="N7" s="29">
        <f>Ass.!O43</f>
        <v>2.7399999999999997E-2</v>
      </c>
      <c r="O7" s="42">
        <f>Ass.!P43</f>
        <v>2.7599999999999996E-2</v>
      </c>
      <c r="P7" s="29">
        <f>Ass.!Q43</f>
        <v>2.7799999999999995E-2</v>
      </c>
      <c r="Q7" s="29">
        <f>Ass.!R43</f>
        <v>2.7999999999999994E-2</v>
      </c>
      <c r="R7" s="29">
        <f>Ass.!S43</f>
        <v>2.8199999999999992E-2</v>
      </c>
      <c r="S7" s="29">
        <f>Ass.!T43</f>
        <v>2.8399999999999991E-2</v>
      </c>
      <c r="T7" s="42">
        <f>Ass.!U43</f>
        <v>2.859999999999999E-2</v>
      </c>
      <c r="U7" s="29">
        <f>Ass.!V43</f>
        <v>2.8799999999999989E-2</v>
      </c>
      <c r="V7" s="29">
        <f>Ass.!W43</f>
        <v>2.8999999999999988E-2</v>
      </c>
      <c r="W7" s="29">
        <f>Ass.!X43</f>
        <v>2.9199999999999986E-2</v>
      </c>
      <c r="X7" s="29">
        <f>Ass.!Y43</f>
        <v>2.9399999999999985E-2</v>
      </c>
      <c r="Y7" s="42">
        <f>Ass.!Z43</f>
        <v>2.9599999999999984E-2</v>
      </c>
      <c r="Z7" s="29">
        <f>Ass.!AA43</f>
        <v>2.9799999999999983E-2</v>
      </c>
      <c r="AA7" s="29">
        <f>Ass.!AB43</f>
        <v>2.9999999999999982E-2</v>
      </c>
      <c r="AB7" s="29">
        <f>Ass.!AC43</f>
        <v>3.019999999999998E-2</v>
      </c>
      <c r="AC7" s="29">
        <f>Ass.!AD43</f>
        <v>3.0399999999999979E-2</v>
      </c>
      <c r="AD7" s="42">
        <f>Ass.!AE43</f>
        <v>3.0599999999999978E-2</v>
      </c>
      <c r="AE7" s="29">
        <f>Ass.!AF43</f>
        <v>3.0799999999999977E-2</v>
      </c>
      <c r="AF7" s="29">
        <f>Ass.!AG43</f>
        <v>3.0999999999999975E-2</v>
      </c>
      <c r="AG7" s="29">
        <f>Ass.!AH43</f>
        <v>3.1199999999999974E-2</v>
      </c>
      <c r="AH7" s="29">
        <f>Ass.!AI43</f>
        <v>3.1399999999999977E-2</v>
      </c>
      <c r="AI7" s="42">
        <f>Ass.!AJ43</f>
        <v>3.1599999999999975E-2</v>
      </c>
      <c r="AJ7" s="29">
        <f>Ass.!AK43</f>
        <v>3.1799999999999974E-2</v>
      </c>
      <c r="AK7" s="29">
        <f>Ass.!AL43</f>
        <v>3.1999999999999973E-2</v>
      </c>
      <c r="AL7" s="29">
        <f>Ass.!AM43</f>
        <v>3.2199999999999972E-2</v>
      </c>
      <c r="AM7" s="29">
        <f>Ass.!AN43</f>
        <v>3.239999999999997E-2</v>
      </c>
      <c r="AN7" s="42">
        <f>Ass.!AO43</f>
        <v>3.2599999999999969E-2</v>
      </c>
      <c r="AO7" s="29">
        <f>Ass.!AP43</f>
        <v>3.2799999999999968E-2</v>
      </c>
      <c r="AP7" s="29">
        <f>Ass.!AQ43</f>
        <v>3.2999999999999967E-2</v>
      </c>
      <c r="AQ7" s="29">
        <f>Ass.!AR43</f>
        <v>3.3199999999999966E-2</v>
      </c>
    </row>
    <row r="8" spans="2:43" ht="12.75" customHeight="1" x14ac:dyDescent="0.15">
      <c r="J8" s="34"/>
      <c r="O8" s="34"/>
      <c r="T8" s="34"/>
      <c r="Y8" s="34"/>
      <c r="AD8" s="34"/>
      <c r="AI8" s="34"/>
      <c r="AN8" s="34"/>
    </row>
    <row r="9" spans="2:43" ht="12.75" customHeight="1" x14ac:dyDescent="0.15">
      <c r="B9" t="s">
        <v>87</v>
      </c>
      <c r="C9" s="21">
        <f>Ass.!G15</f>
        <v>0</v>
      </c>
      <c r="J9" s="34"/>
      <c r="O9" s="34"/>
      <c r="T9" s="34"/>
      <c r="Y9" s="34"/>
      <c r="AD9" s="34"/>
      <c r="AI9" s="34"/>
      <c r="AN9" s="34"/>
    </row>
    <row r="10" spans="2:43" ht="12.75" customHeight="1" x14ac:dyDescent="0.15">
      <c r="B10" t="s">
        <v>306</v>
      </c>
      <c r="C10" s="21">
        <f ca="1">L21</f>
        <v>0</v>
      </c>
      <c r="J10" s="34"/>
      <c r="O10" s="34"/>
      <c r="T10" s="34"/>
      <c r="Y10" s="34"/>
      <c r="AD10" s="34"/>
      <c r="AI10" s="34"/>
      <c r="AN10" s="34"/>
    </row>
    <row r="11" spans="2:43" ht="12.75" customHeight="1" x14ac:dyDescent="0.15">
      <c r="B11" t="s">
        <v>307</v>
      </c>
      <c r="C11" s="22">
        <f>Ass.!D19</f>
        <v>0.02</v>
      </c>
      <c r="J11" s="34"/>
      <c r="O11" s="34"/>
      <c r="T11" s="34"/>
      <c r="Y11" s="34"/>
      <c r="AD11" s="34"/>
      <c r="AI11" s="34"/>
      <c r="AN11" s="34"/>
    </row>
    <row r="12" spans="2:43" ht="12.75" customHeight="1" x14ac:dyDescent="0.15">
      <c r="B12" t="s">
        <v>20</v>
      </c>
      <c r="C12" s="45">
        <f>Ass.!D21</f>
        <v>30</v>
      </c>
      <c r="J12" s="34"/>
      <c r="O12" s="34"/>
      <c r="T12" s="34"/>
      <c r="Y12" s="34"/>
      <c r="AD12" s="34"/>
      <c r="AI12" s="34"/>
      <c r="AN12" s="34"/>
    </row>
    <row r="13" spans="2:43" ht="12.75" customHeight="1" x14ac:dyDescent="0.15">
      <c r="J13" s="34"/>
      <c r="O13" s="34"/>
      <c r="T13" s="34"/>
      <c r="Y13" s="34"/>
      <c r="AD13" s="34"/>
      <c r="AI13" s="34"/>
      <c r="AN13" s="34"/>
    </row>
    <row r="14" spans="2:43" ht="12.75" customHeight="1" x14ac:dyDescent="0.15">
      <c r="B14" t="s">
        <v>278</v>
      </c>
      <c r="G14" s="21">
        <f ca="1">SUM(J14:AC14)</f>
        <v>0</v>
      </c>
      <c r="J14" s="76">
        <f ca="1">IFERROR('Const.'!I32,0)</f>
        <v>0</v>
      </c>
      <c r="K14" s="77">
        <f ca="1">IFERROR('Const.'!J32,0)</f>
        <v>0</v>
      </c>
      <c r="L14" s="77">
        <f ca="1">IFERROR('Const.'!K32,0)</f>
        <v>0</v>
      </c>
      <c r="M14" s="77">
        <f ca="1">IFERROR('Const.'!L32,0)</f>
        <v>0</v>
      </c>
      <c r="N14" s="77">
        <f ca="1">IFERROR('Const.'!M32,0)</f>
        <v>0</v>
      </c>
      <c r="O14" s="76">
        <f>IFERROR('Const.'!N32,0)</f>
        <v>0</v>
      </c>
      <c r="P14" s="77">
        <f>IFERROR('Const.'!O32,0)</f>
        <v>0</v>
      </c>
      <c r="Q14" s="77">
        <f>IFERROR('Const.'!P32,0)</f>
        <v>0</v>
      </c>
      <c r="R14" s="77">
        <f>IFERROR('Const.'!Q32,0)</f>
        <v>0</v>
      </c>
      <c r="S14" s="77">
        <f>IFERROR('Const.'!R32,0)</f>
        <v>0</v>
      </c>
      <c r="T14" s="76">
        <f>IFERROR('Const.'!S32,0)</f>
        <v>0</v>
      </c>
      <c r="U14" s="77">
        <f>IFERROR('Const.'!T32,0)</f>
        <v>0</v>
      </c>
      <c r="V14" s="77">
        <f>IFERROR('Const.'!U32,0)</f>
        <v>0</v>
      </c>
      <c r="W14" s="77">
        <f>IFERROR('Const.'!V32,0)</f>
        <v>0</v>
      </c>
      <c r="X14" s="77">
        <f>IFERROR('Const.'!W32,0)</f>
        <v>0</v>
      </c>
      <c r="Y14" s="76">
        <f>IFERROR('Const.'!X32,0)</f>
        <v>0</v>
      </c>
      <c r="Z14" s="77">
        <f>IFERROR('Const.'!Y32,0)</f>
        <v>0</v>
      </c>
      <c r="AA14" s="77">
        <f>IFERROR('Const.'!Z32,0)</f>
        <v>0</v>
      </c>
      <c r="AB14" s="77">
        <f>IFERROR('Const.'!AA32,0)</f>
        <v>0</v>
      </c>
      <c r="AC14" s="77">
        <f>IFERROR('Const.'!AB32,0)</f>
        <v>0</v>
      </c>
      <c r="AD14" s="76">
        <f>IFERROR('Const.'!AC32,0)</f>
        <v>0</v>
      </c>
      <c r="AE14" s="77">
        <f>IFERROR('Const.'!AD32,0)</f>
        <v>0</v>
      </c>
      <c r="AF14" s="77">
        <f>IFERROR('Const.'!AE32,0)</f>
        <v>0</v>
      </c>
      <c r="AG14" s="77">
        <f>IFERROR('Const.'!AF32,0)</f>
        <v>0</v>
      </c>
      <c r="AH14" s="77">
        <f>IFERROR('Const.'!AG32,0)</f>
        <v>0</v>
      </c>
      <c r="AI14" s="76">
        <f>IFERROR('Const.'!AH32,0)</f>
        <v>0</v>
      </c>
      <c r="AJ14" s="77">
        <f>IFERROR('Const.'!AI32,0)</f>
        <v>0</v>
      </c>
      <c r="AK14" s="77">
        <f>IFERROR('Const.'!AJ32,0)</f>
        <v>0</v>
      </c>
      <c r="AL14" s="77">
        <f>IFERROR('Const.'!AK32,0)</f>
        <v>0</v>
      </c>
      <c r="AM14" s="77">
        <f>IFERROR('Const.'!AL32,0)</f>
        <v>0</v>
      </c>
      <c r="AN14" s="76">
        <f>IFERROR('Const.'!AM32,0)</f>
        <v>0</v>
      </c>
      <c r="AO14" s="77">
        <f>IFERROR('Const.'!AN32,0)</f>
        <v>0</v>
      </c>
      <c r="AP14" s="77">
        <f>IFERROR('Const.'!AO32,0)</f>
        <v>0</v>
      </c>
      <c r="AQ14" s="77">
        <f>IFERROR('Const.'!AP32,0)</f>
        <v>0</v>
      </c>
    </row>
    <row r="15" spans="2:43" ht="12.75" customHeight="1" x14ac:dyDescent="0.15">
      <c r="J15" s="34"/>
      <c r="O15" s="34"/>
      <c r="T15" s="34"/>
      <c r="Y15" s="34"/>
      <c r="AD15" s="34"/>
      <c r="AI15" s="34"/>
      <c r="AN15" s="34"/>
    </row>
    <row r="16" spans="2:43" ht="12.75" customHeight="1" x14ac:dyDescent="0.15">
      <c r="B16" t="s">
        <v>282</v>
      </c>
      <c r="J16" s="34"/>
      <c r="O16" s="34"/>
      <c r="T16" s="34"/>
      <c r="Y16" s="34"/>
      <c r="AD16" s="34"/>
      <c r="AI16" s="34"/>
      <c r="AN16" s="34"/>
    </row>
    <row r="17" spans="2:43" ht="12.75" customHeight="1" x14ac:dyDescent="0.15">
      <c r="C17" t="s">
        <v>308</v>
      </c>
      <c r="J17" s="76">
        <f ca="1">SUM($J14:J$14)</f>
        <v>0</v>
      </c>
      <c r="K17" s="77">
        <f t="shared" ref="K17:AQ17" ca="1" si="1">J21</f>
        <v>0</v>
      </c>
      <c r="L17" s="77">
        <f t="shared" ca="1" si="1"/>
        <v>0</v>
      </c>
      <c r="M17" s="77">
        <f t="shared" ca="1" si="1"/>
        <v>0</v>
      </c>
      <c r="N17" s="77">
        <f t="shared" ca="1" si="1"/>
        <v>0</v>
      </c>
      <c r="O17" s="76">
        <f t="shared" ca="1" si="1"/>
        <v>0</v>
      </c>
      <c r="P17" s="77">
        <f t="shared" ca="1" si="1"/>
        <v>0</v>
      </c>
      <c r="Q17" s="77">
        <f t="shared" ca="1" si="1"/>
        <v>0</v>
      </c>
      <c r="R17" s="77">
        <f t="shared" ca="1" si="1"/>
        <v>0</v>
      </c>
      <c r="S17" s="77">
        <f t="shared" ca="1" si="1"/>
        <v>0</v>
      </c>
      <c r="T17" s="76">
        <f t="shared" ca="1" si="1"/>
        <v>0</v>
      </c>
      <c r="U17" s="77">
        <f t="shared" ca="1" si="1"/>
        <v>0</v>
      </c>
      <c r="V17" s="77">
        <f t="shared" ca="1" si="1"/>
        <v>0</v>
      </c>
      <c r="W17" s="77">
        <f t="shared" ca="1" si="1"/>
        <v>0</v>
      </c>
      <c r="X17" s="77">
        <f t="shared" ca="1" si="1"/>
        <v>0</v>
      </c>
      <c r="Y17" s="76">
        <f t="shared" ca="1" si="1"/>
        <v>0</v>
      </c>
      <c r="Z17" s="77">
        <f t="shared" ca="1" si="1"/>
        <v>0</v>
      </c>
      <c r="AA17" s="77">
        <f t="shared" ca="1" si="1"/>
        <v>0</v>
      </c>
      <c r="AB17" s="77">
        <f t="shared" ca="1" si="1"/>
        <v>0</v>
      </c>
      <c r="AC17" s="77">
        <f t="shared" ca="1" si="1"/>
        <v>0</v>
      </c>
      <c r="AD17" s="76">
        <f t="shared" ca="1" si="1"/>
        <v>0</v>
      </c>
      <c r="AE17" s="77">
        <f t="shared" ca="1" si="1"/>
        <v>0</v>
      </c>
      <c r="AF17" s="77">
        <f t="shared" ca="1" si="1"/>
        <v>0</v>
      </c>
      <c r="AG17" s="77">
        <f t="shared" ca="1" si="1"/>
        <v>0</v>
      </c>
      <c r="AH17" s="77">
        <f t="shared" ca="1" si="1"/>
        <v>0</v>
      </c>
      <c r="AI17" s="76">
        <f t="shared" ca="1" si="1"/>
        <v>0</v>
      </c>
      <c r="AJ17" s="77">
        <f t="shared" ca="1" si="1"/>
        <v>0</v>
      </c>
      <c r="AK17" s="77">
        <f t="shared" ca="1" si="1"/>
        <v>0</v>
      </c>
      <c r="AL17" s="77">
        <f t="shared" ca="1" si="1"/>
        <v>0</v>
      </c>
      <c r="AM17" s="77">
        <f t="shared" ca="1" si="1"/>
        <v>0</v>
      </c>
      <c r="AN17" s="76">
        <f t="shared" ca="1" si="1"/>
        <v>0</v>
      </c>
      <c r="AO17" s="77">
        <f t="shared" ca="1" si="1"/>
        <v>0</v>
      </c>
      <c r="AP17" s="77">
        <f t="shared" ca="1" si="1"/>
        <v>0</v>
      </c>
      <c r="AQ17" s="77">
        <f t="shared" ca="1" si="1"/>
        <v>0</v>
      </c>
    </row>
    <row r="18" spans="2:43" ht="12.75" customHeight="1" x14ac:dyDescent="0.15">
      <c r="C18" t="s">
        <v>309</v>
      </c>
      <c r="J18" s="76">
        <v>0</v>
      </c>
      <c r="K18" s="77">
        <v>0</v>
      </c>
      <c r="L18" s="77">
        <v>0</v>
      </c>
      <c r="M18" s="77">
        <f ca="1">IF(M5=(Ass.!$D$23+Ass.!$D$21-1),M17,MIN(M17,MAX(0,Gear.!M51/Ass.!$D$25-M20)))</f>
        <v>0</v>
      </c>
      <c r="N18" s="77">
        <f ca="1">IF(N5=(Ass.!$D$23+Ass.!$D$21-1),N17,MIN(N17,MAX(0,Gear.!N51/Ass.!$D$25-N20)))</f>
        <v>0</v>
      </c>
      <c r="O18" s="76">
        <f ca="1">IF(O5=(Ass.!$D$23+Ass.!$D$21-1),O17,MIN(O17,MAX(0,Gear.!O51/Ass.!$D$25-O20)))</f>
        <v>0</v>
      </c>
      <c r="P18" s="77">
        <f ca="1">IF(P5=(Ass.!$D$23+Ass.!$D$21-1),P17,MIN(P17,MAX(0,Gear.!P51/Ass.!$D$25-P20)))</f>
        <v>0</v>
      </c>
      <c r="Q18" s="77">
        <f ca="1">IF(Q5=(Ass.!$D$23+Ass.!$D$21-1),Q17,MIN(Q17,MAX(0,Gear.!Q51/Ass.!$D$25-Q20)))</f>
        <v>0</v>
      </c>
      <c r="R18" s="77">
        <f ca="1">IF(R5=(Ass.!$D$23+Ass.!$D$21-1),R17,MIN(R17,MAX(0,Gear.!R51/Ass.!$D$25-R20)))</f>
        <v>0</v>
      </c>
      <c r="S18" s="77">
        <f ca="1">IF(S5=(Ass.!$D$23+Ass.!$D$21-1),S17,MIN(S17,MAX(0,Gear.!S51/Ass.!$D$25-S20)))</f>
        <v>0</v>
      </c>
      <c r="T18" s="76">
        <f ca="1">IF(T5=(Ass.!$D$23+Ass.!$D$21-1),T17,MIN(T17,MAX(0,Gear.!T51/Ass.!$D$25-T20)))</f>
        <v>0</v>
      </c>
      <c r="U18" s="77">
        <f ca="1">IF(U5=(Ass.!$D$23+Ass.!$D$21-1),U17,MIN(U17,MAX(0,Gear.!U51/Ass.!$D$25-U20)))</f>
        <v>0</v>
      </c>
      <c r="V18" s="77">
        <f ca="1">IF(V5=(Ass.!$D$23+Ass.!$D$21-1),V17,MIN(V17,MAX(0,Gear.!V51/Ass.!$D$25-V20)))</f>
        <v>0</v>
      </c>
      <c r="W18" s="77">
        <f ca="1">IF(W5=(Ass.!$D$23+Ass.!$D$21-1),W17,MIN(W17,MAX(0,Gear.!W51/Ass.!$D$25-W20)))</f>
        <v>0</v>
      </c>
      <c r="X18" s="77">
        <f ca="1">IF(X5=(Ass.!$D$23+Ass.!$D$21-1),X17,MIN(X17,MAX(0,Gear.!X51/Ass.!$D$25-X20)))</f>
        <v>0</v>
      </c>
      <c r="Y18" s="76">
        <f ca="1">IF(Y5=(Ass.!$D$23+Ass.!$D$21-1),Y17,MIN(Y17,MAX(0,Gear.!Y51/Ass.!$D$25-Y20)))</f>
        <v>0</v>
      </c>
      <c r="Z18" s="77">
        <f ca="1">IF(Z5=(Ass.!$D$23+Ass.!$D$21-1),Z17,MIN(Z17,MAX(0,Gear.!Z51/Ass.!$D$25-Z20)))</f>
        <v>0</v>
      </c>
      <c r="AA18" s="77">
        <f ca="1">IF(AA5=(Ass.!$D$23+Ass.!$D$21-1),AA17,MIN(AA17,MAX(0,Gear.!AA51/Ass.!$D$25-AA20)))</f>
        <v>0</v>
      </c>
      <c r="AB18" s="77">
        <f ca="1">IF(AB5=(Ass.!$D$23+Ass.!$D$21-1),AB17,MIN(AB17,MAX(0,Gear.!AB51/Ass.!$D$25-AB20)))</f>
        <v>0</v>
      </c>
      <c r="AC18" s="77">
        <f ca="1">IF(AC5=(Ass.!$D$23+Ass.!$D$21-1),AC17,MIN(AC17,MAX(0,Gear.!AC51/Ass.!$D$25-AC20)))</f>
        <v>0</v>
      </c>
      <c r="AD18" s="76">
        <f ca="1">IF(AD5=(Ass.!$D$23+Ass.!$D$21-1),AD17,MIN(AD17,MAX(0,Gear.!AD51/Ass.!$D$25-AD20)))</f>
        <v>0</v>
      </c>
      <c r="AE18" s="77">
        <f ca="1">IF(AE5=(Ass.!$D$23+Ass.!$D$21-1),AE17,MIN(AE17,MAX(0,Gear.!AE51/Ass.!$D$25-AE20)))</f>
        <v>0</v>
      </c>
      <c r="AF18" s="77">
        <f ca="1">IF(AF5=(Ass.!$D$23+Ass.!$D$21-1),AF17,MIN(AF17,MAX(0,Gear.!AF51/Ass.!$D$25-AF20)))</f>
        <v>0</v>
      </c>
      <c r="AG18" s="77">
        <f ca="1">IF(AG5=(Ass.!$D$23+Ass.!$D$21-1),AG17,MIN(AG17,MAX(0,Gear.!AG51/Ass.!$D$25-AG20)))</f>
        <v>0</v>
      </c>
      <c r="AH18" s="77">
        <f ca="1">IF(AH5=(Ass.!$D$23+Ass.!$D$21-1),AH17,MIN(AH17,MAX(0,Gear.!AH51/Ass.!$D$25-AH20)))</f>
        <v>0</v>
      </c>
      <c r="AI18" s="76">
        <f ca="1">IF(AI5=(Ass.!$D$23+Ass.!$D$21-1),AI17,MIN(AI17,MAX(0,Gear.!AI51/Ass.!$D$25-AI20)))</f>
        <v>0</v>
      </c>
      <c r="AJ18" s="77">
        <f ca="1">IF(AJ5=(Ass.!$D$23+Ass.!$D$21-1),AJ17,MIN(AJ17,MAX(0,Gear.!AJ51/Ass.!$D$25-AJ20)))</f>
        <v>0</v>
      </c>
      <c r="AK18" s="77">
        <f ca="1">IF(AK5=(Ass.!$D$23+Ass.!$D$21-1),AK17,MIN(AK17,MAX(0,Gear.!AK51/Ass.!$D$25-AK20)))</f>
        <v>0</v>
      </c>
      <c r="AL18" s="77">
        <f ca="1">IF(AL5=(Ass.!$D$23+Ass.!$D$21-1),AL17,MIN(AL17,MAX(0,Gear.!AL51/Ass.!$D$25-AL20)))</f>
        <v>0</v>
      </c>
      <c r="AM18" s="77">
        <f ca="1">IF(AM5=(Ass.!$D$23+Ass.!$D$21-1),AM17,MIN(AM17,MAX(0,Gear.!AM51/Ass.!$D$25-AM20)))</f>
        <v>0</v>
      </c>
      <c r="AN18" s="76">
        <f ca="1">IF(AN5=(Ass.!$D$23+Ass.!$D$21-1),AN17,MIN(AN17,MAX(0,Gear.!AN51/Ass.!$D$25-AN20)))</f>
        <v>0</v>
      </c>
      <c r="AO18" s="77">
        <f ca="1">IF(AO5=(Ass.!$D$23+Ass.!$D$21-1),AO17,MIN(AO17,MAX(0,Gear.!AO51/Ass.!$D$25-AO20)))</f>
        <v>0</v>
      </c>
      <c r="AP18" s="77">
        <f ca="1">IF(AP5=(Ass.!$D$23+Ass.!$D$21-1),AP17,MIN(AP17,MAX(0,Gear.!AP51/Ass.!$D$25-AP20)))</f>
        <v>0</v>
      </c>
      <c r="AQ18" s="77">
        <f ca="1">IF(AQ5=(Ass.!$D$23+Ass.!$D$21-1),AQ17,MIN(AQ17,MAX(0,Gear.!AQ51/Ass.!$D$25-AQ20)))</f>
        <v>0</v>
      </c>
    </row>
    <row r="19" spans="2:43" ht="12.75" customHeight="1" x14ac:dyDescent="0.15">
      <c r="D19" t="s">
        <v>310</v>
      </c>
      <c r="J19" s="76">
        <v>1</v>
      </c>
      <c r="K19" s="77">
        <v>1</v>
      </c>
      <c r="L19" s="77">
        <v>1</v>
      </c>
      <c r="M19" s="77">
        <v>0</v>
      </c>
      <c r="N19" s="77">
        <v>0</v>
      </c>
      <c r="O19" s="76">
        <v>0</v>
      </c>
      <c r="P19" s="77">
        <v>0</v>
      </c>
      <c r="Q19" s="77">
        <v>0</v>
      </c>
      <c r="R19" s="77">
        <v>0</v>
      </c>
      <c r="S19" s="77">
        <v>0</v>
      </c>
      <c r="T19" s="76">
        <v>0</v>
      </c>
      <c r="U19" s="77">
        <v>0</v>
      </c>
      <c r="V19" s="77">
        <v>0</v>
      </c>
      <c r="W19" s="77">
        <v>0</v>
      </c>
      <c r="X19" s="77">
        <v>0</v>
      </c>
      <c r="Y19" s="76">
        <v>0</v>
      </c>
      <c r="Z19" s="77">
        <v>0</v>
      </c>
      <c r="AA19" s="77">
        <v>0</v>
      </c>
      <c r="AB19" s="77">
        <v>0</v>
      </c>
      <c r="AC19" s="77">
        <v>0</v>
      </c>
      <c r="AD19" s="76">
        <v>0</v>
      </c>
      <c r="AE19" s="77">
        <v>0</v>
      </c>
      <c r="AF19" s="77">
        <v>0</v>
      </c>
      <c r="AG19" s="77">
        <v>0</v>
      </c>
      <c r="AH19" s="77">
        <v>0</v>
      </c>
      <c r="AI19" s="76">
        <v>0</v>
      </c>
      <c r="AJ19" s="77">
        <v>0</v>
      </c>
      <c r="AK19" s="77">
        <v>0</v>
      </c>
      <c r="AL19" s="77">
        <v>0</v>
      </c>
      <c r="AM19" s="77">
        <v>0</v>
      </c>
      <c r="AN19" s="76">
        <v>0</v>
      </c>
      <c r="AO19" s="77">
        <v>0</v>
      </c>
      <c r="AP19" s="77">
        <v>0</v>
      </c>
      <c r="AQ19" s="77">
        <v>0</v>
      </c>
    </row>
    <row r="20" spans="2:43" ht="12.75" customHeight="1" x14ac:dyDescent="0.15">
      <c r="C20" t="s">
        <v>271</v>
      </c>
      <c r="J20" s="76">
        <f t="shared" ref="J20:AQ20" si="2">IF(J19=1,0,J17*(J7+$C$11))</f>
        <v>0</v>
      </c>
      <c r="K20" s="77">
        <f t="shared" si="2"/>
        <v>0</v>
      </c>
      <c r="L20" s="77">
        <f t="shared" si="2"/>
        <v>0</v>
      </c>
      <c r="M20" s="77">
        <f t="shared" ca="1" si="2"/>
        <v>0</v>
      </c>
      <c r="N20" s="77">
        <f t="shared" ca="1" si="2"/>
        <v>0</v>
      </c>
      <c r="O20" s="76">
        <f t="shared" ca="1" si="2"/>
        <v>0</v>
      </c>
      <c r="P20" s="77">
        <f t="shared" ca="1" si="2"/>
        <v>0</v>
      </c>
      <c r="Q20" s="77">
        <f t="shared" ca="1" si="2"/>
        <v>0</v>
      </c>
      <c r="R20" s="77">
        <f t="shared" ca="1" si="2"/>
        <v>0</v>
      </c>
      <c r="S20" s="77">
        <f t="shared" ca="1" si="2"/>
        <v>0</v>
      </c>
      <c r="T20" s="76">
        <f t="shared" ca="1" si="2"/>
        <v>0</v>
      </c>
      <c r="U20" s="77">
        <f t="shared" ca="1" si="2"/>
        <v>0</v>
      </c>
      <c r="V20" s="77">
        <f t="shared" ca="1" si="2"/>
        <v>0</v>
      </c>
      <c r="W20" s="77">
        <f t="shared" ca="1" si="2"/>
        <v>0</v>
      </c>
      <c r="X20" s="77">
        <f t="shared" ca="1" si="2"/>
        <v>0</v>
      </c>
      <c r="Y20" s="76">
        <f t="shared" ca="1" si="2"/>
        <v>0</v>
      </c>
      <c r="Z20" s="77">
        <f t="shared" ca="1" si="2"/>
        <v>0</v>
      </c>
      <c r="AA20" s="77">
        <f t="shared" ca="1" si="2"/>
        <v>0</v>
      </c>
      <c r="AB20" s="77">
        <f t="shared" ca="1" si="2"/>
        <v>0</v>
      </c>
      <c r="AC20" s="77">
        <f t="shared" ca="1" si="2"/>
        <v>0</v>
      </c>
      <c r="AD20" s="76">
        <f t="shared" ca="1" si="2"/>
        <v>0</v>
      </c>
      <c r="AE20" s="77">
        <f t="shared" ca="1" si="2"/>
        <v>0</v>
      </c>
      <c r="AF20" s="77">
        <f t="shared" ca="1" si="2"/>
        <v>0</v>
      </c>
      <c r="AG20" s="77">
        <f t="shared" ca="1" si="2"/>
        <v>0</v>
      </c>
      <c r="AH20" s="77">
        <f t="shared" ca="1" si="2"/>
        <v>0</v>
      </c>
      <c r="AI20" s="76">
        <f t="shared" ca="1" si="2"/>
        <v>0</v>
      </c>
      <c r="AJ20" s="77">
        <f t="shared" ca="1" si="2"/>
        <v>0</v>
      </c>
      <c r="AK20" s="77">
        <f t="shared" ca="1" si="2"/>
        <v>0</v>
      </c>
      <c r="AL20" s="77">
        <f t="shared" ca="1" si="2"/>
        <v>0</v>
      </c>
      <c r="AM20" s="77">
        <f t="shared" ca="1" si="2"/>
        <v>0</v>
      </c>
      <c r="AN20" s="76">
        <f t="shared" ca="1" si="2"/>
        <v>0</v>
      </c>
      <c r="AO20" s="77">
        <f t="shared" ca="1" si="2"/>
        <v>0</v>
      </c>
      <c r="AP20" s="77">
        <f t="shared" ca="1" si="2"/>
        <v>0</v>
      </c>
      <c r="AQ20" s="77">
        <f t="shared" ca="1" si="2"/>
        <v>0</v>
      </c>
    </row>
    <row r="21" spans="2:43" ht="12.75" customHeight="1" x14ac:dyDescent="0.15">
      <c r="C21" t="s">
        <v>311</v>
      </c>
      <c r="J21" s="76">
        <f ca="1">IF(J19=1,SUM($J$14:J14)+J17*(J7+$C$11)-J18,J17-J18)</f>
        <v>0</v>
      </c>
      <c r="K21" s="77">
        <f t="shared" ref="K21:AQ21" ca="1" si="3">K17+K14+IF(K19=1,K17*(K7+$C$11),0)-K18</f>
        <v>0</v>
      </c>
      <c r="L21" s="77">
        <f t="shared" ca="1" si="3"/>
        <v>0</v>
      </c>
      <c r="M21" s="77">
        <f t="shared" ca="1" si="3"/>
        <v>0</v>
      </c>
      <c r="N21" s="77">
        <f t="shared" ca="1" si="3"/>
        <v>0</v>
      </c>
      <c r="O21" s="76">
        <f t="shared" ca="1" si="3"/>
        <v>0</v>
      </c>
      <c r="P21" s="77">
        <f t="shared" ca="1" si="3"/>
        <v>0</v>
      </c>
      <c r="Q21" s="77">
        <f t="shared" ca="1" si="3"/>
        <v>0</v>
      </c>
      <c r="R21" s="77">
        <f t="shared" ca="1" si="3"/>
        <v>0</v>
      </c>
      <c r="S21" s="77">
        <f t="shared" ca="1" si="3"/>
        <v>0</v>
      </c>
      <c r="T21" s="76">
        <f t="shared" ca="1" si="3"/>
        <v>0</v>
      </c>
      <c r="U21" s="77">
        <f t="shared" ca="1" si="3"/>
        <v>0</v>
      </c>
      <c r="V21" s="77">
        <f t="shared" ca="1" si="3"/>
        <v>0</v>
      </c>
      <c r="W21" s="77">
        <f t="shared" ca="1" si="3"/>
        <v>0</v>
      </c>
      <c r="X21" s="77">
        <f t="shared" ca="1" si="3"/>
        <v>0</v>
      </c>
      <c r="Y21" s="76">
        <f t="shared" ca="1" si="3"/>
        <v>0</v>
      </c>
      <c r="Z21" s="77">
        <f t="shared" ca="1" si="3"/>
        <v>0</v>
      </c>
      <c r="AA21" s="77">
        <f t="shared" ca="1" si="3"/>
        <v>0</v>
      </c>
      <c r="AB21" s="77">
        <f t="shared" ca="1" si="3"/>
        <v>0</v>
      </c>
      <c r="AC21" s="77">
        <f t="shared" ca="1" si="3"/>
        <v>0</v>
      </c>
      <c r="AD21" s="76">
        <f t="shared" ca="1" si="3"/>
        <v>0</v>
      </c>
      <c r="AE21" s="77">
        <f t="shared" ca="1" si="3"/>
        <v>0</v>
      </c>
      <c r="AF21" s="77">
        <f t="shared" ca="1" si="3"/>
        <v>0</v>
      </c>
      <c r="AG21" s="77">
        <f t="shared" ca="1" si="3"/>
        <v>0</v>
      </c>
      <c r="AH21" s="77">
        <f t="shared" ca="1" si="3"/>
        <v>0</v>
      </c>
      <c r="AI21" s="76">
        <f t="shared" ca="1" si="3"/>
        <v>0</v>
      </c>
      <c r="AJ21" s="77">
        <f t="shared" ca="1" si="3"/>
        <v>0</v>
      </c>
      <c r="AK21" s="77">
        <f t="shared" ca="1" si="3"/>
        <v>0</v>
      </c>
      <c r="AL21" s="77">
        <f t="shared" ca="1" si="3"/>
        <v>0</v>
      </c>
      <c r="AM21" s="77">
        <f t="shared" ca="1" si="3"/>
        <v>0</v>
      </c>
      <c r="AN21" s="76">
        <f t="shared" ca="1" si="3"/>
        <v>0</v>
      </c>
      <c r="AO21" s="77">
        <f t="shared" ca="1" si="3"/>
        <v>0</v>
      </c>
      <c r="AP21" s="77">
        <f t="shared" ca="1" si="3"/>
        <v>0</v>
      </c>
      <c r="AQ21" s="77">
        <f t="shared" ca="1" si="3"/>
        <v>0</v>
      </c>
    </row>
    <row r="22" spans="2:43" ht="12.75" customHeight="1" x14ac:dyDescent="0.15">
      <c r="J22" s="34"/>
      <c r="O22" s="34"/>
      <c r="T22" s="34"/>
      <c r="Y22" s="34"/>
      <c r="AD22" s="34"/>
      <c r="AI22" s="34"/>
      <c r="AN22" s="34"/>
    </row>
    <row r="23" spans="2:43" ht="12.75" customHeight="1" x14ac:dyDescent="0.15">
      <c r="J23" s="34"/>
      <c r="O23" s="34"/>
      <c r="T23" s="34"/>
      <c r="Y23" s="34"/>
      <c r="AD23" s="34"/>
      <c r="AI23" s="34"/>
      <c r="AN23" s="34"/>
    </row>
    <row r="24" spans="2:43" ht="12.75" customHeight="1" x14ac:dyDescent="0.15">
      <c r="B24" t="s">
        <v>90</v>
      </c>
      <c r="J24" s="34"/>
      <c r="O24" s="34"/>
      <c r="T24" s="34"/>
      <c r="Y24" s="34"/>
      <c r="AD24" s="34"/>
      <c r="AI24" s="34"/>
      <c r="AN24" s="34"/>
    </row>
    <row r="25" spans="2:43" ht="12.75" customHeight="1" x14ac:dyDescent="0.15">
      <c r="C25" t="s">
        <v>279</v>
      </c>
      <c r="J25" s="76">
        <f ca="1">IFERROR('Const.'!I33,0)</f>
        <v>0</v>
      </c>
      <c r="K25" s="77">
        <f ca="1">IFERROR('Const.'!J33,0)</f>
        <v>0</v>
      </c>
      <c r="L25" s="77">
        <f ca="1">IFERROR('Const.'!K33,0)</f>
        <v>0</v>
      </c>
      <c r="M25" s="77">
        <f ca="1">IFERROR('Const.'!L33,0)</f>
        <v>0</v>
      </c>
      <c r="N25" s="77">
        <f ca="1">IFERROR('Const.'!M33,0)</f>
        <v>0</v>
      </c>
      <c r="O25" s="76">
        <f>IFERROR('Const.'!N33,0)</f>
        <v>0</v>
      </c>
      <c r="P25" s="77">
        <f>IFERROR('Const.'!O33,0)</f>
        <v>0</v>
      </c>
      <c r="Q25" s="77">
        <f>IFERROR('Const.'!P33,0)</f>
        <v>0</v>
      </c>
      <c r="R25" s="77">
        <f>IFERROR('Const.'!Q33,0)</f>
        <v>0</v>
      </c>
      <c r="S25" s="77">
        <f>IFERROR('Const.'!R33,0)</f>
        <v>0</v>
      </c>
      <c r="T25" s="76">
        <f>IFERROR('Const.'!S33,0)</f>
        <v>0</v>
      </c>
      <c r="U25" s="77">
        <f>IFERROR('Const.'!T33,0)</f>
        <v>0</v>
      </c>
      <c r="V25" s="77">
        <f>IFERROR('Const.'!U33,0)</f>
        <v>0</v>
      </c>
      <c r="W25" s="77">
        <f>IFERROR('Const.'!V33,0)</f>
        <v>0</v>
      </c>
      <c r="X25" s="77">
        <f>IFERROR('Const.'!W33,0)</f>
        <v>0</v>
      </c>
      <c r="Y25" s="76">
        <f>IFERROR('Const.'!X33,0)</f>
        <v>0</v>
      </c>
      <c r="Z25" s="77">
        <f>IFERROR('Const.'!Y33,0)</f>
        <v>0</v>
      </c>
      <c r="AA25" s="77">
        <f>IFERROR('Const.'!Z33,0)</f>
        <v>0</v>
      </c>
      <c r="AB25" s="77">
        <f>IFERROR('Const.'!AA33,0)</f>
        <v>0</v>
      </c>
      <c r="AC25" s="77">
        <f>IFERROR('Const.'!AB33,0)</f>
        <v>0</v>
      </c>
      <c r="AD25" s="76">
        <f>IFERROR('Const.'!AC33,0)</f>
        <v>0</v>
      </c>
      <c r="AE25" s="77">
        <f>IFERROR('Const.'!AD33,0)</f>
        <v>0</v>
      </c>
      <c r="AF25" s="77">
        <f>IFERROR('Const.'!AE33,0)</f>
        <v>0</v>
      </c>
      <c r="AG25" s="77">
        <f>IFERROR('Const.'!AF33,0)</f>
        <v>0</v>
      </c>
      <c r="AH25" s="77">
        <f>IFERROR('Const.'!AG33,0)</f>
        <v>0</v>
      </c>
      <c r="AI25" s="76">
        <f>IFERROR('Const.'!AH33,0)</f>
        <v>0</v>
      </c>
      <c r="AJ25" s="77">
        <f>IFERROR('Const.'!AI33,0)</f>
        <v>0</v>
      </c>
      <c r="AK25" s="77">
        <f>IFERROR('Const.'!AJ33,0)</f>
        <v>0</v>
      </c>
      <c r="AL25" s="77">
        <f>IFERROR('Const.'!AK33,0)</f>
        <v>0</v>
      </c>
      <c r="AM25" s="77">
        <f>IFERROR('Const.'!AL33,0)</f>
        <v>0</v>
      </c>
      <c r="AN25" s="76">
        <f>IFERROR('Const.'!AM33,0)</f>
        <v>0</v>
      </c>
      <c r="AO25" s="77">
        <f>IFERROR('Const.'!AN33,0)</f>
        <v>0</v>
      </c>
      <c r="AP25" s="77">
        <f>IFERROR('Const.'!AO33,0)</f>
        <v>0</v>
      </c>
      <c r="AQ25" s="77">
        <f>IFERROR('Const.'!AP33,0)</f>
        <v>0</v>
      </c>
    </row>
    <row r="26" spans="2:43" ht="12.75" customHeight="1" x14ac:dyDescent="0.15">
      <c r="J26" s="34"/>
      <c r="O26" s="34"/>
      <c r="T26" s="34"/>
      <c r="Y26" s="34"/>
      <c r="AD26" s="34"/>
      <c r="AI26" s="34"/>
      <c r="AN26" s="34"/>
    </row>
    <row r="27" spans="2:43" ht="12.75" customHeight="1" x14ac:dyDescent="0.15">
      <c r="J27" s="35"/>
      <c r="O27" s="34"/>
      <c r="T27" s="34"/>
      <c r="Y27" s="34"/>
      <c r="AD27" s="34"/>
      <c r="AI27" s="34"/>
      <c r="AN27" s="34"/>
    </row>
  </sheetData>
  <pageMargins left="0.7" right="0.7" top="0.75" bottom="0.75" header="0.511811023622047" footer="0.511811023622047"/>
  <pageSetup paperSize="9"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pageSetUpPr fitToPage="1"/>
  </sheetPr>
  <dimension ref="B3:AQ58"/>
  <sheetViews>
    <sheetView showGridLines="0" topLeftCell="A2" zoomScaleNormal="100" workbookViewId="0">
      <pane ySplit="5" topLeftCell="A22" activePane="bottomLeft" state="frozen"/>
      <selection activeCell="A2" sqref="A2"/>
      <selection pane="bottomLeft" activeCell="N66" sqref="N66"/>
    </sheetView>
  </sheetViews>
  <sheetFormatPr baseColWidth="10" defaultColWidth="8.6640625" defaultRowHeight="13" x14ac:dyDescent="0.15"/>
  <cols>
    <col min="2" max="8" width="12.33203125" customWidth="1"/>
    <col min="10" max="43" width="11.5" customWidth="1"/>
  </cols>
  <sheetData>
    <row r="3" spans="2:43" ht="12.75" customHeight="1" x14ac:dyDescent="0.15">
      <c r="H3" t="s">
        <v>205</v>
      </c>
    </row>
    <row r="4" spans="2:43" ht="12.75" customHeight="1" x14ac:dyDescent="0.15">
      <c r="H4" t="s">
        <v>206</v>
      </c>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row>
    <row r="5" spans="2:43" ht="12.75" customHeight="1" x14ac:dyDescent="0.15">
      <c r="H5" t="s">
        <v>207</v>
      </c>
      <c r="J5" s="32">
        <v>2027</v>
      </c>
      <c r="K5" s="33">
        <f t="shared" ref="K5:AQ5" si="0">J5+1</f>
        <v>2028</v>
      </c>
      <c r="L5" s="33">
        <f t="shared" si="0"/>
        <v>2029</v>
      </c>
      <c r="M5" s="33">
        <f t="shared" si="0"/>
        <v>2030</v>
      </c>
      <c r="N5" s="33">
        <f t="shared" si="0"/>
        <v>2031</v>
      </c>
      <c r="O5" s="32">
        <f t="shared" si="0"/>
        <v>2032</v>
      </c>
      <c r="P5" s="33">
        <f t="shared" si="0"/>
        <v>2033</v>
      </c>
      <c r="Q5" s="33">
        <f t="shared" si="0"/>
        <v>2034</v>
      </c>
      <c r="R5" s="33">
        <f t="shared" si="0"/>
        <v>2035</v>
      </c>
      <c r="S5" s="33">
        <f t="shared" si="0"/>
        <v>2036</v>
      </c>
      <c r="T5" s="32">
        <f t="shared" si="0"/>
        <v>2037</v>
      </c>
      <c r="U5" s="33">
        <f t="shared" si="0"/>
        <v>2038</v>
      </c>
      <c r="V5" s="33">
        <f t="shared" si="0"/>
        <v>2039</v>
      </c>
      <c r="W5" s="33">
        <f t="shared" si="0"/>
        <v>2040</v>
      </c>
      <c r="X5" s="33">
        <f t="shared" si="0"/>
        <v>2041</v>
      </c>
      <c r="Y5" s="32">
        <f t="shared" si="0"/>
        <v>2042</v>
      </c>
      <c r="Z5" s="33">
        <f t="shared" si="0"/>
        <v>2043</v>
      </c>
      <c r="AA5" s="33">
        <f t="shared" si="0"/>
        <v>2044</v>
      </c>
      <c r="AB5" s="33">
        <f t="shared" si="0"/>
        <v>2045</v>
      </c>
      <c r="AC5" s="33">
        <f t="shared" si="0"/>
        <v>2046</v>
      </c>
      <c r="AD5" s="32">
        <f t="shared" si="0"/>
        <v>2047</v>
      </c>
      <c r="AE5" s="33">
        <f t="shared" si="0"/>
        <v>2048</v>
      </c>
      <c r="AF5" s="33">
        <f t="shared" si="0"/>
        <v>2049</v>
      </c>
      <c r="AG5" s="33">
        <f t="shared" si="0"/>
        <v>2050</v>
      </c>
      <c r="AH5" s="33">
        <f t="shared" si="0"/>
        <v>2051</v>
      </c>
      <c r="AI5" s="32">
        <f t="shared" si="0"/>
        <v>2052</v>
      </c>
      <c r="AJ5" s="33">
        <f t="shared" si="0"/>
        <v>2053</v>
      </c>
      <c r="AK5" s="33">
        <f t="shared" si="0"/>
        <v>2054</v>
      </c>
      <c r="AL5" s="33">
        <f t="shared" si="0"/>
        <v>2055</v>
      </c>
      <c r="AM5" s="33">
        <f t="shared" si="0"/>
        <v>2056</v>
      </c>
      <c r="AN5" s="32">
        <f t="shared" si="0"/>
        <v>2057</v>
      </c>
      <c r="AO5" s="33">
        <f t="shared" si="0"/>
        <v>2058</v>
      </c>
      <c r="AP5" s="33">
        <f t="shared" si="0"/>
        <v>2059</v>
      </c>
      <c r="AQ5" s="33">
        <f t="shared" si="0"/>
        <v>2060</v>
      </c>
    </row>
    <row r="6" spans="2:43" ht="12.75" customHeight="1" x14ac:dyDescent="0.15">
      <c r="J6" s="34"/>
      <c r="O6" s="34"/>
      <c r="T6" s="34"/>
      <c r="Y6" s="34"/>
      <c r="AD6" s="34"/>
      <c r="AI6" s="34"/>
      <c r="AN6" s="34"/>
    </row>
    <row r="7" spans="2:43" ht="12.75" customHeight="1" x14ac:dyDescent="0.15">
      <c r="J7" s="34"/>
      <c r="O7" s="34"/>
      <c r="T7" s="34"/>
      <c r="Y7" s="34"/>
      <c r="AD7" s="34"/>
      <c r="AI7" s="34"/>
      <c r="AN7" s="34"/>
    </row>
    <row r="8" spans="2:43" ht="12.75" customHeight="1" x14ac:dyDescent="0.15">
      <c r="B8" t="s">
        <v>312</v>
      </c>
      <c r="J8" s="34"/>
      <c r="O8" s="34"/>
      <c r="T8" s="34"/>
      <c r="Y8" s="34"/>
      <c r="AD8" s="34"/>
      <c r="AI8" s="34"/>
      <c r="AN8" s="34"/>
    </row>
    <row r="9" spans="2:43" ht="12.75" customHeight="1" x14ac:dyDescent="0.15">
      <c r="J9" s="34"/>
      <c r="O9" s="34"/>
      <c r="T9" s="34"/>
      <c r="Y9" s="34"/>
      <c r="AD9" s="34"/>
      <c r="AI9" s="34"/>
      <c r="AN9" s="34"/>
    </row>
    <row r="10" spans="2:43" ht="12.75" customHeight="1" x14ac:dyDescent="0.15">
      <c r="C10" t="s">
        <v>87</v>
      </c>
      <c r="D10" s="22">
        <f>Ass.!D16</f>
        <v>0.6</v>
      </c>
      <c r="J10" s="34"/>
      <c r="O10" s="34"/>
      <c r="T10" s="34"/>
      <c r="Y10" s="34"/>
      <c r="AD10" s="34"/>
      <c r="AI10" s="34"/>
      <c r="AN10" s="34"/>
    </row>
    <row r="11" spans="2:43" ht="12.75" customHeight="1" x14ac:dyDescent="0.15">
      <c r="C11" t="s">
        <v>90</v>
      </c>
      <c r="D11" s="22">
        <f>Ass.!D17</f>
        <v>0.4</v>
      </c>
      <c r="J11" s="34"/>
      <c r="O11" s="34"/>
      <c r="T11" s="34"/>
      <c r="Y11" s="34"/>
      <c r="AD11" s="34"/>
      <c r="AI11" s="34"/>
      <c r="AN11" s="34"/>
    </row>
    <row r="12" spans="2:43" ht="12.75" customHeight="1" x14ac:dyDescent="0.15">
      <c r="J12" s="34"/>
      <c r="O12" s="34"/>
      <c r="T12" s="34"/>
      <c r="Y12" s="34"/>
      <c r="AD12" s="34"/>
      <c r="AI12" s="34"/>
      <c r="AN12" s="34"/>
    </row>
    <row r="13" spans="2:43" ht="12.75" customHeight="1" x14ac:dyDescent="0.15">
      <c r="B13" t="s">
        <v>313</v>
      </c>
      <c r="J13" s="34"/>
      <c r="O13" s="34"/>
      <c r="T13" s="34"/>
      <c r="Y13" s="34"/>
      <c r="AD13" s="34"/>
      <c r="AI13" s="34"/>
      <c r="AN13" s="34"/>
    </row>
    <row r="14" spans="2:43" ht="12.75" customHeight="1" x14ac:dyDescent="0.15">
      <c r="J14" s="34"/>
      <c r="O14" s="34"/>
      <c r="T14" s="34"/>
      <c r="Y14" s="34"/>
      <c r="AD14" s="34"/>
      <c r="AI14" s="34"/>
      <c r="AN14" s="34"/>
    </row>
    <row r="15" spans="2:43" ht="12.75" customHeight="1" x14ac:dyDescent="0.15">
      <c r="C15" t="s">
        <v>269</v>
      </c>
      <c r="J15" s="43">
        <f ca="1">'3 Stats.'!J18</f>
        <v>6933912.2628454268</v>
      </c>
      <c r="K15" s="44">
        <f ca="1">'3 Stats.'!K18</f>
        <v>3969368.2057242095</v>
      </c>
      <c r="L15" s="44">
        <f ca="1">'3 Stats.'!L18</f>
        <v>2359097.724109903</v>
      </c>
      <c r="M15" s="44">
        <f ca="1">'3 Stats.'!M18</f>
        <v>1551790.8968338072</v>
      </c>
      <c r="N15" s="44">
        <f ca="1">'3 Stats.'!N18</f>
        <v>2066019.6789100766</v>
      </c>
      <c r="O15" s="43">
        <f ca="1">'3 Stats.'!O18</f>
        <v>1987111.6865664423</v>
      </c>
      <c r="P15" s="44">
        <f ca="1">'3 Stats.'!P18</f>
        <v>1880639.2849310935</v>
      </c>
      <c r="Q15" s="44">
        <f ca="1">'3 Stats.'!Q18</f>
        <v>1841770.5923024118</v>
      </c>
      <c r="R15" s="44">
        <f ca="1">'3 Stats.'!R18</f>
        <v>2073942.9938557297</v>
      </c>
      <c r="S15" s="44">
        <f ca="1">'3 Stats.'!S18</f>
        <v>2027089.2394685149</v>
      </c>
      <c r="T15" s="43">
        <f ca="1">'3 Stats.'!T18</f>
        <v>1928405.3080413491</v>
      </c>
      <c r="U15" s="44">
        <f ca="1">'3 Stats.'!U18</f>
        <v>1893829.8243059218</v>
      </c>
      <c r="V15" s="44">
        <f ca="1">'3 Stats.'!V18</f>
        <v>1551028.3534577936</v>
      </c>
      <c r="W15" s="44">
        <f ca="1">'3 Stats.'!W18</f>
        <v>1371421.2489845902</v>
      </c>
      <c r="X15" s="44">
        <f ca="1">'3 Stats.'!X18</f>
        <v>1173660.7417279184</v>
      </c>
      <c r="Y15" s="43">
        <f ca="1">'3 Stats.'!Y18</f>
        <v>1081522.8964203596</v>
      </c>
      <c r="Z15" s="44">
        <f ca="1">'3 Stats.'!Z18</f>
        <v>1011713.6383112073</v>
      </c>
      <c r="AA15" s="44">
        <f ca="1">'3 Stats.'!AA18</f>
        <v>658851.75867775083</v>
      </c>
      <c r="AB15" s="44">
        <f ca="1">'3 Stats.'!AB18</f>
        <v>569712.89039221406</v>
      </c>
      <c r="AC15" s="44">
        <f ca="1">'3 Stats.'!AC18</f>
        <v>447135.6629422605</v>
      </c>
      <c r="AD15" s="43">
        <f ca="1">'3 Stats.'!AD18</f>
        <v>315540.1954562068</v>
      </c>
      <c r="AE15" s="44">
        <f ca="1">'3 Stats.'!AE18</f>
        <v>174598.00217878819</v>
      </c>
      <c r="AF15" s="44">
        <f ca="1">'3 Stats.'!AF18</f>
        <v>23970.686572238803</v>
      </c>
      <c r="AG15" s="44">
        <f ca="1">'3 Stats.'!AG18</f>
        <v>-136690.33227446675</v>
      </c>
      <c r="AH15" s="44">
        <f ca="1">'3 Stats.'!AH18</f>
        <v>-307744.10038539767</v>
      </c>
      <c r="AI15" s="43">
        <f ca="1">'3 Stats.'!AI18</f>
        <v>-489560.41700556874</v>
      </c>
      <c r="AJ15" s="44">
        <f ca="1">'3 Stats.'!AJ18</f>
        <v>-682520.13024717569</v>
      </c>
      <c r="AK15" s="44">
        <f ca="1">'3 Stats.'!AK18</f>
        <v>-887015.44045060873</v>
      </c>
      <c r="AL15" s="44">
        <f ca="1">'3 Stats.'!AL18</f>
        <v>-1103450.2114970386</v>
      </c>
      <c r="AM15" s="44">
        <f ca="1">'3 Stats.'!AM18</f>
        <v>-1332240.2902276814</v>
      </c>
      <c r="AN15" s="43">
        <f ca="1">'3 Stats.'!AN18</f>
        <v>-1573813.8342017233</v>
      </c>
      <c r="AO15" s="44">
        <f ca="1">'3 Stats.'!AO18</f>
        <v>-1828611.6479928792</v>
      </c>
      <c r="AP15" s="44">
        <f ca="1">'3 Stats.'!AP18</f>
        <v>-2097087.5282523334</v>
      </c>
      <c r="AQ15" s="44">
        <f ca="1">'3 Stats.'!AQ18</f>
        <v>-2379708.6177423596</v>
      </c>
    </row>
    <row r="16" spans="2:43" ht="12.75" customHeight="1" x14ac:dyDescent="0.15">
      <c r="C16" t="s">
        <v>314</v>
      </c>
      <c r="J16" s="43">
        <f ca="1">'3 Stats.'!J18-'3 Stats.'!J20</f>
        <v>-9732754.4038212392</v>
      </c>
      <c r="K16" s="44">
        <f ca="1">'3 Stats.'!K18-'3 Stats.'!K20</f>
        <v>-12697298.460942456</v>
      </c>
      <c r="L16" s="44">
        <f ca="1">'3 Stats.'!L18-'3 Stats.'!L20</f>
        <v>-14307568.942556763</v>
      </c>
      <c r="M16" s="44">
        <f ca="1">'3 Stats.'!M18-'3 Stats.'!M20</f>
        <v>-15114875.769832859</v>
      </c>
      <c r="N16" s="44">
        <f ca="1">'3 Stats.'!N18-'3 Stats.'!N20</f>
        <v>-14600646.987756589</v>
      </c>
      <c r="O16" s="43">
        <f ca="1">'3 Stats.'!O18-'3 Stats.'!O20</f>
        <v>-14679554.980100224</v>
      </c>
      <c r="P16" s="44">
        <f ca="1">'3 Stats.'!P18-'3 Stats.'!P20</f>
        <v>-14786027.381735573</v>
      </c>
      <c r="Q16" s="44">
        <f ca="1">'3 Stats.'!Q18-'3 Stats.'!Q20</f>
        <v>-14824896.074364254</v>
      </c>
      <c r="R16" s="44">
        <f ca="1">'3 Stats.'!R18-'3 Stats.'!R20</f>
        <v>-14592723.672810936</v>
      </c>
      <c r="S16" s="44">
        <f ca="1">'3 Stats.'!S18-'3 Stats.'!S20</f>
        <v>-14639577.427198151</v>
      </c>
      <c r="T16" s="43">
        <f ca="1">'3 Stats.'!T18-'3 Stats.'!T20</f>
        <v>-14738261.358625317</v>
      </c>
      <c r="U16" s="44">
        <f ca="1">'3 Stats.'!U18-'3 Stats.'!U20</f>
        <v>-14772836.842360744</v>
      </c>
      <c r="V16" s="44">
        <f ca="1">'3 Stats.'!V18-'3 Stats.'!V20</f>
        <v>-15115638.313208872</v>
      </c>
      <c r="W16" s="44">
        <f ca="1">'3 Stats.'!W18-'3 Stats.'!W20</f>
        <v>-15295245.417682076</v>
      </c>
      <c r="X16" s="44">
        <f ca="1">'3 Stats.'!X18-'3 Stats.'!X20</f>
        <v>-15493005.924938748</v>
      </c>
      <c r="Y16" s="43">
        <f ca="1">'3 Stats.'!Y18-'3 Stats.'!Y20</f>
        <v>-15585143.770246306</v>
      </c>
      <c r="Z16" s="44">
        <f ca="1">'3 Stats.'!Z18-'3 Stats.'!Z20</f>
        <v>-15654953.028355459</v>
      </c>
      <c r="AA16" s="44">
        <f ca="1">'3 Stats.'!AA18-'3 Stats.'!AA20</f>
        <v>-16007814.907988915</v>
      </c>
      <c r="AB16" s="44">
        <f ca="1">'3 Stats.'!AB18-'3 Stats.'!AB20</f>
        <v>-16096953.776274452</v>
      </c>
      <c r="AC16" s="44">
        <f ca="1">'3 Stats.'!AC18-'3 Stats.'!AC20</f>
        <v>-16219531.003724406</v>
      </c>
      <c r="AD16" s="43">
        <f ca="1">'3 Stats.'!AD18-'3 Stats.'!AD20</f>
        <v>-16351126.471210459</v>
      </c>
      <c r="AE16" s="44">
        <f ca="1">'3 Stats.'!AE18-'3 Stats.'!AE20</f>
        <v>-16492068.664487878</v>
      </c>
      <c r="AF16" s="44">
        <f ca="1">'3 Stats.'!AF18-'3 Stats.'!AF20</f>
        <v>-16642695.980094427</v>
      </c>
      <c r="AG16" s="44">
        <f ca="1">'3 Stats.'!AG18-'3 Stats.'!AG20</f>
        <v>-16803356.998941131</v>
      </c>
      <c r="AH16" s="44">
        <f ca="1">'3 Stats.'!AH18-'3 Stats.'!AH20</f>
        <v>-16974410.767052062</v>
      </c>
      <c r="AI16" s="43">
        <f ca="1">'3 Stats.'!AI18-'3 Stats.'!AI20</f>
        <v>-17156227.083672233</v>
      </c>
      <c r="AJ16" s="44">
        <f ca="1">'3 Stats.'!AJ18-'3 Stats.'!AJ20</f>
        <v>-17349186.79691384</v>
      </c>
      <c r="AK16" s="44">
        <f ca="1">'3 Stats.'!AK18-'3 Stats.'!AK20</f>
        <v>-17553682.107117273</v>
      </c>
      <c r="AL16" s="44">
        <f ca="1">'3 Stats.'!AL18-'3 Stats.'!AL20</f>
        <v>-17770116.878163703</v>
      </c>
      <c r="AM16" s="44">
        <f ca="1">'3 Stats.'!AM18-'3 Stats.'!AM20</f>
        <v>-17998906.956894346</v>
      </c>
      <c r="AN16" s="43">
        <f ca="1">'3 Stats.'!AN18-'3 Stats.'!AN20</f>
        <v>-18240480.500868388</v>
      </c>
      <c r="AO16" s="44">
        <f ca="1">'3 Stats.'!AO18-'3 Stats.'!AO20</f>
        <v>-18495278.314659543</v>
      </c>
      <c r="AP16" s="44">
        <f ca="1">'3 Stats.'!AP18-'3 Stats.'!AP20</f>
        <v>-18763754.194918998</v>
      </c>
      <c r="AQ16" s="44">
        <f ca="1">'3 Stats.'!AQ18-'3 Stats.'!AQ20</f>
        <v>-19046375.284409024</v>
      </c>
    </row>
    <row r="17" spans="3:43" ht="12.75" customHeight="1" x14ac:dyDescent="0.15">
      <c r="J17" s="34"/>
      <c r="O17" s="34"/>
      <c r="T17" s="34"/>
      <c r="Y17" s="34"/>
      <c r="AD17" s="34"/>
      <c r="AI17" s="34"/>
      <c r="AN17" s="34"/>
    </row>
    <row r="18" spans="3:43" ht="12.75" customHeight="1" x14ac:dyDescent="0.15">
      <c r="C18" t="s">
        <v>315</v>
      </c>
      <c r="J18" s="41">
        <f ca="1">'3 Stats.'!J44</f>
        <v>6933912.2628454268</v>
      </c>
      <c r="K18" s="21">
        <f ca="1">'3 Stats.'!K44</f>
        <v>3969368.2057242095</v>
      </c>
      <c r="L18" s="21">
        <f ca="1">'3 Stats.'!L44</f>
        <v>2359097.724109903</v>
      </c>
      <c r="M18" s="21">
        <f ca="1">'3 Stats.'!M44</f>
        <v>1551790.8968338072</v>
      </c>
      <c r="N18" s="21">
        <f ca="1">'3 Stats.'!N44</f>
        <v>2066019.6789100766</v>
      </c>
      <c r="O18" s="41">
        <f ca="1">'3 Stats.'!O44</f>
        <v>1987111.6865664423</v>
      </c>
      <c r="P18" s="21">
        <f ca="1">'3 Stats.'!P44</f>
        <v>1880639.2849310935</v>
      </c>
      <c r="Q18" s="21">
        <f ca="1">'3 Stats.'!Q44</f>
        <v>1841770.5923024118</v>
      </c>
      <c r="R18" s="21">
        <f ca="1">'3 Stats.'!R44</f>
        <v>2073942.9938557297</v>
      </c>
      <c r="S18" s="21">
        <f ca="1">'3 Stats.'!S44</f>
        <v>2027089.2394685149</v>
      </c>
      <c r="T18" s="41">
        <f ca="1">'3 Stats.'!T44</f>
        <v>1928405.3080413491</v>
      </c>
      <c r="U18" s="21">
        <f ca="1">'3 Stats.'!U44</f>
        <v>1893829.8243059218</v>
      </c>
      <c r="V18" s="21">
        <f ca="1">'3 Stats.'!V44</f>
        <v>1551028.3534577936</v>
      </c>
      <c r="W18" s="21">
        <f ca="1">'3 Stats.'!W44</f>
        <v>1371421.2489845902</v>
      </c>
      <c r="X18" s="21">
        <f ca="1">'3 Stats.'!X44</f>
        <v>1173660.7417279184</v>
      </c>
      <c r="Y18" s="41">
        <f ca="1">'3 Stats.'!Y44</f>
        <v>1081522.8964203596</v>
      </c>
      <c r="Z18" s="21">
        <f ca="1">'3 Stats.'!Z44</f>
        <v>1011713.6383112073</v>
      </c>
      <c r="AA18" s="21">
        <f ca="1">'3 Stats.'!AA44</f>
        <v>658851.75867775083</v>
      </c>
      <c r="AB18" s="21">
        <f ca="1">'3 Stats.'!AB44</f>
        <v>569712.89039221406</v>
      </c>
      <c r="AC18" s="21">
        <f ca="1">'3 Stats.'!AC44</f>
        <v>447135.6629422605</v>
      </c>
      <c r="AD18" s="41">
        <f ca="1">'3 Stats.'!AD44</f>
        <v>315540.1954562068</v>
      </c>
      <c r="AE18" s="21">
        <f ca="1">'3 Stats.'!AE44</f>
        <v>174598.00217878819</v>
      </c>
      <c r="AF18" s="21">
        <f ca="1">'3 Stats.'!AF44</f>
        <v>23970.686572238803</v>
      </c>
      <c r="AG18" s="21">
        <f ca="1">'3 Stats.'!AG44</f>
        <v>-136690.33227446675</v>
      </c>
      <c r="AH18" s="21">
        <f ca="1">'3 Stats.'!AH44</f>
        <v>-307744.10038539767</v>
      </c>
      <c r="AI18" s="41">
        <f ca="1">'3 Stats.'!AI44</f>
        <v>-489560.41700556874</v>
      </c>
      <c r="AJ18" s="21">
        <f ca="1">'3 Stats.'!AJ44</f>
        <v>-682520.13024717569</v>
      </c>
      <c r="AK18" s="21">
        <f ca="1">'3 Stats.'!AK44</f>
        <v>-887015.44045060873</v>
      </c>
      <c r="AL18" s="21">
        <f ca="1">'3 Stats.'!AL44</f>
        <v>-1103450.2114970386</v>
      </c>
      <c r="AM18" s="21">
        <f ca="1">'3 Stats.'!AM44</f>
        <v>-1332240.2902276814</v>
      </c>
      <c r="AN18" s="41">
        <f ca="1">'3 Stats.'!AN44</f>
        <v>-1573813.8342017233</v>
      </c>
      <c r="AO18" s="21">
        <f ca="1">'3 Stats.'!AO44</f>
        <v>-1828611.6479928792</v>
      </c>
      <c r="AP18" s="21">
        <f ca="1">'3 Stats.'!AP44</f>
        <v>-2097087.5282523334</v>
      </c>
      <c r="AQ18" s="21">
        <f ca="1">'3 Stats.'!AQ44</f>
        <v>-2379708.6177423596</v>
      </c>
    </row>
    <row r="19" spans="3:43" ht="12.75" customHeight="1" x14ac:dyDescent="0.15">
      <c r="J19" s="34"/>
      <c r="O19" s="34"/>
      <c r="T19" s="34"/>
      <c r="Y19" s="34"/>
      <c r="AD19" s="34"/>
      <c r="AI19" s="34"/>
      <c r="AN19" s="34"/>
    </row>
    <row r="20" spans="3:43" ht="12.75" customHeight="1" x14ac:dyDescent="0.15">
      <c r="C20" t="s">
        <v>316</v>
      </c>
      <c r="J20" s="41"/>
      <c r="K20" s="21"/>
      <c r="L20" s="21"/>
      <c r="M20" s="21"/>
      <c r="N20" s="21"/>
      <c r="O20" s="41"/>
      <c r="P20" s="21"/>
      <c r="Q20" s="21"/>
      <c r="R20" s="21"/>
      <c r="S20" s="21"/>
      <c r="T20" s="41"/>
      <c r="U20" s="21"/>
      <c r="V20" s="21"/>
      <c r="W20" s="21"/>
      <c r="X20" s="21"/>
      <c r="Y20" s="41"/>
      <c r="Z20" s="21"/>
      <c r="AA20" s="21"/>
      <c r="AB20" s="21"/>
      <c r="AC20" s="21"/>
      <c r="AD20" s="41"/>
      <c r="AE20" s="21"/>
      <c r="AF20" s="21"/>
      <c r="AG20" s="21"/>
      <c r="AH20" s="21"/>
      <c r="AI20" s="41"/>
      <c r="AJ20" s="21"/>
      <c r="AK20" s="21"/>
      <c r="AL20" s="21"/>
      <c r="AM20" s="21"/>
      <c r="AN20" s="41"/>
      <c r="AO20" s="21"/>
      <c r="AP20" s="21"/>
      <c r="AQ20" s="21"/>
    </row>
    <row r="21" spans="3:43" ht="12.75" customHeight="1" x14ac:dyDescent="0.15">
      <c r="D21" t="s">
        <v>271</v>
      </c>
      <c r="J21" s="76">
        <f>'3 Stats.'!J39</f>
        <v>0</v>
      </c>
      <c r="K21" s="77">
        <f>'3 Stats.'!K39</f>
        <v>0</v>
      </c>
      <c r="L21" s="77">
        <f>'3 Stats.'!L39</f>
        <v>0</v>
      </c>
      <c r="M21" s="77">
        <f ca="1">'3 Stats.'!M39</f>
        <v>0</v>
      </c>
      <c r="N21" s="77">
        <f ca="1">'3 Stats.'!N39</f>
        <v>0</v>
      </c>
      <c r="O21" s="76">
        <f ca="1">'3 Stats.'!O39</f>
        <v>0</v>
      </c>
      <c r="P21" s="77">
        <f ca="1">'3 Stats.'!P39</f>
        <v>0</v>
      </c>
      <c r="Q21" s="77">
        <f ca="1">'3 Stats.'!Q39</f>
        <v>0</v>
      </c>
      <c r="R21" s="77">
        <f ca="1">'3 Stats.'!R39</f>
        <v>0</v>
      </c>
      <c r="S21" s="77">
        <f ca="1">'3 Stats.'!S39</f>
        <v>0</v>
      </c>
      <c r="T21" s="76">
        <f ca="1">'3 Stats.'!T39</f>
        <v>0</v>
      </c>
      <c r="U21" s="77">
        <f ca="1">'3 Stats.'!U39</f>
        <v>0</v>
      </c>
      <c r="V21" s="77">
        <f ca="1">'3 Stats.'!V39</f>
        <v>0</v>
      </c>
      <c r="W21" s="77">
        <f ca="1">'3 Stats.'!W39</f>
        <v>0</v>
      </c>
      <c r="X21" s="77">
        <f ca="1">'3 Stats.'!X39</f>
        <v>0</v>
      </c>
      <c r="Y21" s="76">
        <f ca="1">'3 Stats.'!Y39</f>
        <v>0</v>
      </c>
      <c r="Z21" s="77">
        <f ca="1">'3 Stats.'!Z39</f>
        <v>0</v>
      </c>
      <c r="AA21" s="77">
        <f ca="1">'3 Stats.'!AA39</f>
        <v>0</v>
      </c>
      <c r="AB21" s="77">
        <f ca="1">'3 Stats.'!AB39</f>
        <v>0</v>
      </c>
      <c r="AC21" s="77">
        <f ca="1">'3 Stats.'!AC39</f>
        <v>0</v>
      </c>
      <c r="AD21" s="76">
        <f ca="1">'3 Stats.'!AD39</f>
        <v>0</v>
      </c>
      <c r="AE21" s="77">
        <f ca="1">'3 Stats.'!AE39</f>
        <v>0</v>
      </c>
      <c r="AF21" s="77">
        <f ca="1">'3 Stats.'!AF39</f>
        <v>0</v>
      </c>
      <c r="AG21" s="77">
        <f ca="1">'3 Stats.'!AG39</f>
        <v>0</v>
      </c>
      <c r="AH21" s="77">
        <f ca="1">'3 Stats.'!AH39</f>
        <v>0</v>
      </c>
      <c r="AI21" s="76">
        <f ca="1">'3 Stats.'!AI39</f>
        <v>0</v>
      </c>
      <c r="AJ21" s="77">
        <f ca="1">'3 Stats.'!AJ39</f>
        <v>0</v>
      </c>
      <c r="AK21" s="77">
        <f ca="1">'3 Stats.'!AK39</f>
        <v>0</v>
      </c>
      <c r="AL21" s="77">
        <f ca="1">'3 Stats.'!AL39</f>
        <v>0</v>
      </c>
      <c r="AM21" s="77">
        <f ca="1">'3 Stats.'!AM39</f>
        <v>0</v>
      </c>
      <c r="AN21" s="76">
        <f ca="1">'3 Stats.'!AN39</f>
        <v>0</v>
      </c>
      <c r="AO21" s="77">
        <f ca="1">'3 Stats.'!AO39</f>
        <v>0</v>
      </c>
      <c r="AP21" s="77">
        <f ca="1">'3 Stats.'!AP39</f>
        <v>0</v>
      </c>
      <c r="AQ21" s="77">
        <f ca="1">'3 Stats.'!AQ39</f>
        <v>0</v>
      </c>
    </row>
    <row r="22" spans="3:43" ht="12.75" customHeight="1" x14ac:dyDescent="0.15">
      <c r="D22" t="s">
        <v>317</v>
      </c>
      <c r="J22" s="76">
        <f>'3 Stats.'!J40</f>
        <v>0</v>
      </c>
      <c r="K22" s="77">
        <f>'3 Stats.'!K40</f>
        <v>0</v>
      </c>
      <c r="L22" s="77">
        <f>'3 Stats.'!L40</f>
        <v>0</v>
      </c>
      <c r="M22" s="77">
        <f ca="1">'3 Stats.'!M40</f>
        <v>0</v>
      </c>
      <c r="N22" s="77">
        <f ca="1">'3 Stats.'!N40</f>
        <v>0</v>
      </c>
      <c r="O22" s="76">
        <f ca="1">'3 Stats.'!O40</f>
        <v>0</v>
      </c>
      <c r="P22" s="77">
        <f ca="1">'3 Stats.'!P40</f>
        <v>0</v>
      </c>
      <c r="Q22" s="77">
        <f ca="1">'3 Stats.'!Q40</f>
        <v>0</v>
      </c>
      <c r="R22" s="77">
        <f ca="1">'3 Stats.'!R40</f>
        <v>0</v>
      </c>
      <c r="S22" s="77">
        <f ca="1">'3 Stats.'!S40</f>
        <v>0</v>
      </c>
      <c r="T22" s="76">
        <f ca="1">'3 Stats.'!T40</f>
        <v>0</v>
      </c>
      <c r="U22" s="77">
        <f ca="1">'3 Stats.'!U40</f>
        <v>0</v>
      </c>
      <c r="V22" s="77">
        <f ca="1">'3 Stats.'!V40</f>
        <v>0</v>
      </c>
      <c r="W22" s="77">
        <f ca="1">'3 Stats.'!W40</f>
        <v>0</v>
      </c>
      <c r="X22" s="77">
        <f ca="1">'3 Stats.'!X40</f>
        <v>0</v>
      </c>
      <c r="Y22" s="76">
        <f ca="1">'3 Stats.'!Y40</f>
        <v>0</v>
      </c>
      <c r="Z22" s="77">
        <f ca="1">'3 Stats.'!Z40</f>
        <v>0</v>
      </c>
      <c r="AA22" s="77">
        <f ca="1">'3 Stats.'!AA40</f>
        <v>0</v>
      </c>
      <c r="AB22" s="77">
        <f ca="1">'3 Stats.'!AB40</f>
        <v>0</v>
      </c>
      <c r="AC22" s="77">
        <f ca="1">'3 Stats.'!AC40</f>
        <v>0</v>
      </c>
      <c r="AD22" s="76">
        <f ca="1">'3 Stats.'!AD40</f>
        <v>0</v>
      </c>
      <c r="AE22" s="77">
        <f ca="1">'3 Stats.'!AE40</f>
        <v>0</v>
      </c>
      <c r="AF22" s="77">
        <f ca="1">'3 Stats.'!AF40</f>
        <v>0</v>
      </c>
      <c r="AG22" s="77">
        <f ca="1">'3 Stats.'!AG40</f>
        <v>0</v>
      </c>
      <c r="AH22" s="77">
        <f ca="1">'3 Stats.'!AH40</f>
        <v>0</v>
      </c>
      <c r="AI22" s="76">
        <f ca="1">'3 Stats.'!AI40</f>
        <v>0</v>
      </c>
      <c r="AJ22" s="77">
        <f ca="1">'3 Stats.'!AJ40</f>
        <v>0</v>
      </c>
      <c r="AK22" s="77">
        <f ca="1">'3 Stats.'!AK40</f>
        <v>0</v>
      </c>
      <c r="AL22" s="77">
        <f ca="1">'3 Stats.'!AL40</f>
        <v>0</v>
      </c>
      <c r="AM22" s="77">
        <f ca="1">'3 Stats.'!AM40</f>
        <v>0</v>
      </c>
      <c r="AN22" s="76">
        <f ca="1">'3 Stats.'!AN40</f>
        <v>0</v>
      </c>
      <c r="AO22" s="77">
        <f ca="1">'3 Stats.'!AO40</f>
        <v>0</v>
      </c>
      <c r="AP22" s="77">
        <f ca="1">'3 Stats.'!AP40</f>
        <v>0</v>
      </c>
      <c r="AQ22" s="77">
        <f ca="1">'3 Stats.'!AQ40</f>
        <v>0</v>
      </c>
    </row>
    <row r="23" spans="3:43" ht="12.75" customHeight="1" x14ac:dyDescent="0.15">
      <c r="D23" t="s">
        <v>228</v>
      </c>
      <c r="J23" s="76">
        <f t="shared" ref="J23:AQ23" si="1">SUM(J21:J22)</f>
        <v>0</v>
      </c>
      <c r="K23" s="77">
        <f t="shared" si="1"/>
        <v>0</v>
      </c>
      <c r="L23" s="77">
        <f t="shared" si="1"/>
        <v>0</v>
      </c>
      <c r="M23" s="77">
        <f t="shared" ca="1" si="1"/>
        <v>0</v>
      </c>
      <c r="N23" s="77">
        <f t="shared" ca="1" si="1"/>
        <v>0</v>
      </c>
      <c r="O23" s="76">
        <f t="shared" ca="1" si="1"/>
        <v>0</v>
      </c>
      <c r="P23" s="77">
        <f t="shared" ca="1" si="1"/>
        <v>0</v>
      </c>
      <c r="Q23" s="77">
        <f t="shared" ca="1" si="1"/>
        <v>0</v>
      </c>
      <c r="R23" s="77">
        <f t="shared" ca="1" si="1"/>
        <v>0</v>
      </c>
      <c r="S23" s="77">
        <f t="shared" ca="1" si="1"/>
        <v>0</v>
      </c>
      <c r="T23" s="76">
        <f t="shared" ca="1" si="1"/>
        <v>0</v>
      </c>
      <c r="U23" s="77">
        <f t="shared" ca="1" si="1"/>
        <v>0</v>
      </c>
      <c r="V23" s="77">
        <f t="shared" ca="1" si="1"/>
        <v>0</v>
      </c>
      <c r="W23" s="77">
        <f t="shared" ca="1" si="1"/>
        <v>0</v>
      </c>
      <c r="X23" s="77">
        <f t="shared" ca="1" si="1"/>
        <v>0</v>
      </c>
      <c r="Y23" s="76">
        <f t="shared" ca="1" si="1"/>
        <v>0</v>
      </c>
      <c r="Z23" s="77">
        <f t="shared" ca="1" si="1"/>
        <v>0</v>
      </c>
      <c r="AA23" s="77">
        <f t="shared" ca="1" si="1"/>
        <v>0</v>
      </c>
      <c r="AB23" s="77">
        <f t="shared" ca="1" si="1"/>
        <v>0</v>
      </c>
      <c r="AC23" s="77">
        <f t="shared" ca="1" si="1"/>
        <v>0</v>
      </c>
      <c r="AD23" s="76">
        <f t="shared" ca="1" si="1"/>
        <v>0</v>
      </c>
      <c r="AE23" s="77">
        <f t="shared" ca="1" si="1"/>
        <v>0</v>
      </c>
      <c r="AF23" s="77">
        <f t="shared" ca="1" si="1"/>
        <v>0</v>
      </c>
      <c r="AG23" s="77">
        <f t="shared" ca="1" si="1"/>
        <v>0</v>
      </c>
      <c r="AH23" s="77">
        <f t="shared" ca="1" si="1"/>
        <v>0</v>
      </c>
      <c r="AI23" s="76">
        <f t="shared" ca="1" si="1"/>
        <v>0</v>
      </c>
      <c r="AJ23" s="77">
        <f t="shared" ca="1" si="1"/>
        <v>0</v>
      </c>
      <c r="AK23" s="77">
        <f t="shared" ca="1" si="1"/>
        <v>0</v>
      </c>
      <c r="AL23" s="77">
        <f t="shared" ca="1" si="1"/>
        <v>0</v>
      </c>
      <c r="AM23" s="77">
        <f t="shared" ca="1" si="1"/>
        <v>0</v>
      </c>
      <c r="AN23" s="76">
        <f t="shared" ca="1" si="1"/>
        <v>0</v>
      </c>
      <c r="AO23" s="77">
        <f t="shared" ca="1" si="1"/>
        <v>0</v>
      </c>
      <c r="AP23" s="77">
        <f t="shared" ca="1" si="1"/>
        <v>0</v>
      </c>
      <c r="AQ23" s="77">
        <f t="shared" ca="1" si="1"/>
        <v>0</v>
      </c>
    </row>
    <row r="24" spans="3:43" ht="12.75" customHeight="1" x14ac:dyDescent="0.15">
      <c r="J24" s="34"/>
      <c r="O24" s="34"/>
      <c r="T24" s="34"/>
      <c r="Y24" s="34"/>
      <c r="AD24" s="34"/>
      <c r="AI24" s="34"/>
      <c r="AN24" s="34"/>
    </row>
    <row r="25" spans="3:43" ht="12.75" customHeight="1" x14ac:dyDescent="0.15">
      <c r="C25" t="s">
        <v>318</v>
      </c>
      <c r="J25" s="34"/>
      <c r="O25" s="34"/>
      <c r="T25" s="34"/>
      <c r="Y25" s="34"/>
      <c r="AD25" s="34"/>
      <c r="AI25" s="34"/>
      <c r="AN25" s="34"/>
    </row>
    <row r="26" spans="3:43" ht="12.75" customHeight="1" x14ac:dyDescent="0.15">
      <c r="D26" t="s">
        <v>105</v>
      </c>
      <c r="J26" s="46" t="str">
        <f t="shared" ref="J26:AQ26" si="2">IF(J23&lt;1,"n/a",IFERROR(J51/J23,0))</f>
        <v>n/a</v>
      </c>
      <c r="K26" s="26" t="str">
        <f t="shared" si="2"/>
        <v>n/a</v>
      </c>
      <c r="L26" s="26" t="str">
        <f t="shared" si="2"/>
        <v>n/a</v>
      </c>
      <c r="M26" s="26" t="str">
        <f t="shared" ca="1" si="2"/>
        <v>n/a</v>
      </c>
      <c r="N26" s="26" t="str">
        <f t="shared" ca="1" si="2"/>
        <v>n/a</v>
      </c>
      <c r="O26" s="46" t="str">
        <f t="shared" ca="1" si="2"/>
        <v>n/a</v>
      </c>
      <c r="P26" s="26" t="str">
        <f t="shared" ca="1" si="2"/>
        <v>n/a</v>
      </c>
      <c r="Q26" s="26" t="str">
        <f t="shared" ca="1" si="2"/>
        <v>n/a</v>
      </c>
      <c r="R26" s="26" t="str">
        <f t="shared" ca="1" si="2"/>
        <v>n/a</v>
      </c>
      <c r="S26" s="26" t="str">
        <f t="shared" ca="1" si="2"/>
        <v>n/a</v>
      </c>
      <c r="T26" s="46" t="str">
        <f t="shared" ca="1" si="2"/>
        <v>n/a</v>
      </c>
      <c r="U26" s="26" t="str">
        <f t="shared" ca="1" si="2"/>
        <v>n/a</v>
      </c>
      <c r="V26" s="26" t="str">
        <f t="shared" ca="1" si="2"/>
        <v>n/a</v>
      </c>
      <c r="W26" s="26" t="str">
        <f t="shared" ca="1" si="2"/>
        <v>n/a</v>
      </c>
      <c r="X26" s="26" t="str">
        <f t="shared" ca="1" si="2"/>
        <v>n/a</v>
      </c>
      <c r="Y26" s="46" t="str">
        <f t="shared" ca="1" si="2"/>
        <v>n/a</v>
      </c>
      <c r="Z26" s="26" t="str">
        <f t="shared" ca="1" si="2"/>
        <v>n/a</v>
      </c>
      <c r="AA26" s="26" t="str">
        <f t="shared" ca="1" si="2"/>
        <v>n/a</v>
      </c>
      <c r="AB26" s="26" t="str">
        <f t="shared" ca="1" si="2"/>
        <v>n/a</v>
      </c>
      <c r="AC26" s="26" t="str">
        <f t="shared" ca="1" si="2"/>
        <v>n/a</v>
      </c>
      <c r="AD26" s="46" t="str">
        <f t="shared" ca="1" si="2"/>
        <v>n/a</v>
      </c>
      <c r="AE26" s="26" t="str">
        <f t="shared" ca="1" si="2"/>
        <v>n/a</v>
      </c>
      <c r="AF26" s="26" t="str">
        <f t="shared" ca="1" si="2"/>
        <v>n/a</v>
      </c>
      <c r="AG26" s="26" t="str">
        <f t="shared" ca="1" si="2"/>
        <v>n/a</v>
      </c>
      <c r="AH26" s="26" t="str">
        <f t="shared" ca="1" si="2"/>
        <v>n/a</v>
      </c>
      <c r="AI26" s="46" t="str">
        <f t="shared" ca="1" si="2"/>
        <v>n/a</v>
      </c>
      <c r="AJ26" s="26" t="str">
        <f t="shared" ca="1" si="2"/>
        <v>n/a</v>
      </c>
      <c r="AK26" s="26" t="str">
        <f t="shared" ca="1" si="2"/>
        <v>n/a</v>
      </c>
      <c r="AL26" s="26" t="str">
        <f t="shared" ca="1" si="2"/>
        <v>n/a</v>
      </c>
      <c r="AM26" s="26" t="str">
        <f t="shared" ca="1" si="2"/>
        <v>n/a</v>
      </c>
      <c r="AN26" s="46" t="str">
        <f t="shared" ca="1" si="2"/>
        <v>n/a</v>
      </c>
      <c r="AO26" s="26" t="str">
        <f t="shared" ca="1" si="2"/>
        <v>n/a</v>
      </c>
      <c r="AP26" s="26" t="str">
        <f t="shared" ca="1" si="2"/>
        <v>n/a</v>
      </c>
      <c r="AQ26" s="26" t="str">
        <f t="shared" ca="1" si="2"/>
        <v>n/a</v>
      </c>
    </row>
    <row r="27" spans="3:43" ht="12.75" customHeight="1" x14ac:dyDescent="0.15">
      <c r="D27" t="s">
        <v>107</v>
      </c>
      <c r="J27" s="46" t="str">
        <f t="shared" ref="J27:AQ27" si="3">IF(J21&lt;1,"n/a",IFERROR(J16/J21,0))</f>
        <v>n/a</v>
      </c>
      <c r="K27" s="26" t="str">
        <f t="shared" si="3"/>
        <v>n/a</v>
      </c>
      <c r="L27" s="26" t="str">
        <f t="shared" si="3"/>
        <v>n/a</v>
      </c>
      <c r="M27" s="26" t="str">
        <f t="shared" ca="1" si="3"/>
        <v>n/a</v>
      </c>
      <c r="N27" s="26" t="str">
        <f t="shared" ca="1" si="3"/>
        <v>n/a</v>
      </c>
      <c r="O27" s="46" t="str">
        <f t="shared" ca="1" si="3"/>
        <v>n/a</v>
      </c>
      <c r="P27" s="26" t="str">
        <f t="shared" ca="1" si="3"/>
        <v>n/a</v>
      </c>
      <c r="Q27" s="26" t="str">
        <f t="shared" ca="1" si="3"/>
        <v>n/a</v>
      </c>
      <c r="R27" s="26" t="str">
        <f t="shared" ca="1" si="3"/>
        <v>n/a</v>
      </c>
      <c r="S27" s="26" t="str">
        <f t="shared" ca="1" si="3"/>
        <v>n/a</v>
      </c>
      <c r="T27" s="46" t="str">
        <f t="shared" ca="1" si="3"/>
        <v>n/a</v>
      </c>
      <c r="U27" s="26" t="str">
        <f t="shared" ca="1" si="3"/>
        <v>n/a</v>
      </c>
      <c r="V27" s="26" t="str">
        <f t="shared" ca="1" si="3"/>
        <v>n/a</v>
      </c>
      <c r="W27" s="26" t="str">
        <f t="shared" ca="1" si="3"/>
        <v>n/a</v>
      </c>
      <c r="X27" s="26" t="str">
        <f t="shared" ca="1" si="3"/>
        <v>n/a</v>
      </c>
      <c r="Y27" s="46" t="str">
        <f t="shared" ca="1" si="3"/>
        <v>n/a</v>
      </c>
      <c r="Z27" s="26" t="str">
        <f t="shared" ca="1" si="3"/>
        <v>n/a</v>
      </c>
      <c r="AA27" s="26" t="str">
        <f t="shared" ca="1" si="3"/>
        <v>n/a</v>
      </c>
      <c r="AB27" s="26" t="str">
        <f t="shared" ca="1" si="3"/>
        <v>n/a</v>
      </c>
      <c r="AC27" s="26" t="str">
        <f t="shared" ca="1" si="3"/>
        <v>n/a</v>
      </c>
      <c r="AD27" s="46" t="str">
        <f t="shared" ca="1" si="3"/>
        <v>n/a</v>
      </c>
      <c r="AE27" s="26" t="str">
        <f t="shared" ca="1" si="3"/>
        <v>n/a</v>
      </c>
      <c r="AF27" s="26" t="str">
        <f t="shared" ca="1" si="3"/>
        <v>n/a</v>
      </c>
      <c r="AG27" s="26" t="str">
        <f t="shared" ca="1" si="3"/>
        <v>n/a</v>
      </c>
      <c r="AH27" s="26" t="str">
        <f t="shared" ca="1" si="3"/>
        <v>n/a</v>
      </c>
      <c r="AI27" s="46" t="str">
        <f t="shared" ca="1" si="3"/>
        <v>n/a</v>
      </c>
      <c r="AJ27" s="26" t="str">
        <f t="shared" ca="1" si="3"/>
        <v>n/a</v>
      </c>
      <c r="AK27" s="26" t="str">
        <f t="shared" ca="1" si="3"/>
        <v>n/a</v>
      </c>
      <c r="AL27" s="26" t="str">
        <f t="shared" ca="1" si="3"/>
        <v>n/a</v>
      </c>
      <c r="AM27" s="26" t="str">
        <f t="shared" ca="1" si="3"/>
        <v>n/a</v>
      </c>
      <c r="AN27" s="46" t="str">
        <f t="shared" ca="1" si="3"/>
        <v>n/a</v>
      </c>
      <c r="AO27" s="26" t="str">
        <f t="shared" ca="1" si="3"/>
        <v>n/a</v>
      </c>
      <c r="AP27" s="26" t="str">
        <f t="shared" ca="1" si="3"/>
        <v>n/a</v>
      </c>
      <c r="AQ27" s="26" t="str">
        <f t="shared" ca="1" si="3"/>
        <v>n/a</v>
      </c>
    </row>
    <row r="28" spans="3:43" ht="12.75" customHeight="1" x14ac:dyDescent="0.15">
      <c r="D28" t="s">
        <v>319</v>
      </c>
      <c r="J28" s="46">
        <f ca="1">IFERROR('3 Stats.'!J57/J15,0)</f>
        <v>0</v>
      </c>
      <c r="K28" s="26">
        <f ca="1">IFERROR('3 Stats.'!K57/K15,0)</f>
        <v>0</v>
      </c>
      <c r="L28" s="26">
        <f ca="1">IFERROR('3 Stats.'!L57/L15,0)</f>
        <v>0</v>
      </c>
      <c r="M28" s="26">
        <f ca="1">IFERROR('3 Stats.'!M57/M15,0)</f>
        <v>0</v>
      </c>
      <c r="N28" s="26">
        <f ca="1">IFERROR('3 Stats.'!N57/N15,0)</f>
        <v>0</v>
      </c>
      <c r="O28" s="46">
        <f ca="1">IFERROR('3 Stats.'!O57/O15,0)</f>
        <v>0</v>
      </c>
      <c r="P28" s="26">
        <f ca="1">IFERROR('3 Stats.'!P57/P15,0)</f>
        <v>0</v>
      </c>
      <c r="Q28" s="26">
        <f ca="1">IFERROR('3 Stats.'!Q57/Q15,0)</f>
        <v>0</v>
      </c>
      <c r="R28" s="26">
        <f ca="1">IFERROR('3 Stats.'!R57/R15,0)</f>
        <v>0</v>
      </c>
      <c r="S28" s="26">
        <f ca="1">IFERROR('3 Stats.'!S57/S15,0)</f>
        <v>0</v>
      </c>
      <c r="T28" s="46">
        <f ca="1">IFERROR('3 Stats.'!T57/T15,0)</f>
        <v>0</v>
      </c>
      <c r="U28" s="26">
        <f ca="1">IFERROR('3 Stats.'!U57/U15,0)</f>
        <v>0</v>
      </c>
      <c r="V28" s="26">
        <f ca="1">IFERROR('3 Stats.'!V57/V15,0)</f>
        <v>0</v>
      </c>
      <c r="W28" s="26">
        <f ca="1">IFERROR('3 Stats.'!W57/W15,0)</f>
        <v>0</v>
      </c>
      <c r="X28" s="26">
        <f ca="1">IFERROR('3 Stats.'!X57/X15,0)</f>
        <v>0</v>
      </c>
      <c r="Y28" s="46">
        <f ca="1">IFERROR('3 Stats.'!Y57/Y15,0)</f>
        <v>0</v>
      </c>
      <c r="Z28" s="26">
        <f ca="1">IFERROR('3 Stats.'!Z57/Z15,0)</f>
        <v>0</v>
      </c>
      <c r="AA28" s="26">
        <f ca="1">IFERROR('3 Stats.'!AA57/AA15,0)</f>
        <v>0</v>
      </c>
      <c r="AB28" s="26">
        <f ca="1">IFERROR('3 Stats.'!AB57/AB15,0)</f>
        <v>0</v>
      </c>
      <c r="AC28" s="26">
        <f ca="1">IFERROR('3 Stats.'!AC57/AC15,0)</f>
        <v>0</v>
      </c>
      <c r="AD28" s="46">
        <f ca="1">IFERROR('3 Stats.'!AD57/AD15,0)</f>
        <v>0</v>
      </c>
      <c r="AE28" s="26">
        <f ca="1">IFERROR('3 Stats.'!AE57/AE15,0)</f>
        <v>0</v>
      </c>
      <c r="AF28" s="26">
        <f ca="1">IFERROR('3 Stats.'!AF57/AF15,0)</f>
        <v>0</v>
      </c>
      <c r="AG28" s="26">
        <f ca="1">IFERROR('3 Stats.'!AG57/AG15,0)</f>
        <v>0</v>
      </c>
      <c r="AH28" s="26">
        <f ca="1">IFERROR('3 Stats.'!AH57/AH15,0)</f>
        <v>0</v>
      </c>
      <c r="AI28" s="46">
        <f ca="1">IFERROR('3 Stats.'!AI57/AI15,0)</f>
        <v>0</v>
      </c>
      <c r="AJ28" s="26">
        <f ca="1">IFERROR('3 Stats.'!AJ57/AJ15,0)</f>
        <v>0</v>
      </c>
      <c r="AK28" s="26">
        <f ca="1">IFERROR('3 Stats.'!AK57/AK15,0)</f>
        <v>0</v>
      </c>
      <c r="AL28" s="26">
        <f ca="1">IFERROR('3 Stats.'!AL57/AL15,0)</f>
        <v>0</v>
      </c>
      <c r="AM28" s="26">
        <f ca="1">IFERROR('3 Stats.'!AM57/AM15,0)</f>
        <v>0</v>
      </c>
      <c r="AN28" s="46">
        <f ca="1">IFERROR('3 Stats.'!AN57/AN15,0)</f>
        <v>0</v>
      </c>
      <c r="AO28" s="26">
        <f ca="1">IFERROR('3 Stats.'!AO57/AO15,0)</f>
        <v>0</v>
      </c>
      <c r="AP28" s="26">
        <f ca="1">IFERROR('3 Stats.'!AP57/AP15,0)</f>
        <v>0</v>
      </c>
      <c r="AQ28" s="26">
        <f ca="1">IFERROR('3 Stats.'!AQ57/AQ15,0)</f>
        <v>0</v>
      </c>
    </row>
    <row r="29" spans="3:43" ht="12.75" customHeight="1" x14ac:dyDescent="0.15">
      <c r="J29" s="34"/>
      <c r="O29" s="34"/>
      <c r="T29" s="34"/>
      <c r="Y29" s="34"/>
      <c r="AD29" s="34"/>
      <c r="AI29" s="34"/>
      <c r="AN29" s="34"/>
    </row>
    <row r="30" spans="3:43" ht="12.75" customHeight="1" x14ac:dyDescent="0.15">
      <c r="J30" s="34"/>
      <c r="O30" s="34"/>
      <c r="T30" s="34"/>
      <c r="Y30" s="34"/>
      <c r="AD30" s="34"/>
      <c r="AI30" s="34"/>
      <c r="AN30" s="34"/>
    </row>
    <row r="31" spans="3:43" ht="12.75" customHeight="1" x14ac:dyDescent="0.15">
      <c r="J31" s="34"/>
      <c r="O31" s="34"/>
      <c r="T31" s="34"/>
      <c r="Y31" s="34"/>
      <c r="AD31" s="34"/>
      <c r="AI31" s="34"/>
      <c r="AN31" s="34"/>
    </row>
    <row r="32" spans="3:43" ht="12.75" customHeight="1" x14ac:dyDescent="0.15">
      <c r="J32" s="34"/>
      <c r="O32" s="34"/>
      <c r="T32" s="34"/>
      <c r="Y32" s="34"/>
      <c r="AD32" s="34"/>
      <c r="AI32" s="34"/>
      <c r="AN32" s="34"/>
    </row>
    <row r="33" spans="2:40" ht="12.75" customHeight="1" x14ac:dyDescent="0.15">
      <c r="B33" t="s">
        <v>129</v>
      </c>
      <c r="J33" s="34"/>
      <c r="O33" s="34"/>
      <c r="T33" s="34"/>
      <c r="Y33" s="34"/>
      <c r="AD33" s="34"/>
      <c r="AI33" s="34"/>
      <c r="AN33" s="34"/>
    </row>
    <row r="34" spans="2:40" ht="12.75" customHeight="1" x14ac:dyDescent="0.15">
      <c r="J34" s="34"/>
      <c r="O34" s="34"/>
      <c r="T34" s="34"/>
      <c r="Y34" s="34"/>
      <c r="AD34" s="34"/>
      <c r="AI34" s="34"/>
      <c r="AN34" s="34"/>
    </row>
    <row r="35" spans="2:40" ht="12.75" customHeight="1" x14ac:dyDescent="0.15">
      <c r="B35" t="s">
        <v>84</v>
      </c>
      <c r="J35" s="34"/>
      <c r="O35" s="34"/>
      <c r="T35" s="34"/>
      <c r="Y35" s="34"/>
      <c r="AD35" s="34"/>
      <c r="AI35" s="34"/>
      <c r="AN35" s="34"/>
    </row>
    <row r="36" spans="2:40" ht="12.75" customHeight="1" x14ac:dyDescent="0.15">
      <c r="J36" s="34"/>
      <c r="O36" s="34"/>
      <c r="T36" s="34"/>
      <c r="Y36" s="34"/>
      <c r="AD36" s="34"/>
      <c r="AI36" s="34"/>
      <c r="AN36" s="34"/>
    </row>
    <row r="37" spans="2:40" ht="12.75" customHeight="1" x14ac:dyDescent="0.15">
      <c r="B37" s="54">
        <f ca="1">'3 Stats.'!I45</f>
        <v>38378024.888808981</v>
      </c>
      <c r="C37" s="55">
        <v>0.01</v>
      </c>
      <c r="D37" s="56">
        <f>C37+0.5%</f>
        <v>1.4999999999999999E-2</v>
      </c>
      <c r="E37" s="56">
        <f>D37+0.5%</f>
        <v>0.02</v>
      </c>
      <c r="F37" s="56">
        <f>E37+0.5%</f>
        <v>2.5000000000000001E-2</v>
      </c>
      <c r="G37" s="56">
        <f>F37+0.5%</f>
        <v>3.0000000000000002E-2</v>
      </c>
      <c r="H37" s="57">
        <f>G37+0.5%</f>
        <v>3.5000000000000003E-2</v>
      </c>
      <c r="J37" s="34"/>
      <c r="O37" s="34"/>
      <c r="T37" s="34"/>
      <c r="Y37" s="34"/>
      <c r="AD37" s="34"/>
      <c r="AI37" s="34"/>
      <c r="AN37" s="34"/>
    </row>
    <row r="38" spans="2:40" ht="12.75" customHeight="1" x14ac:dyDescent="0.15">
      <c r="B38" s="58">
        <v>0.5</v>
      </c>
      <c r="C38" s="88">
        <f t="dataTable" ref="C38:H44" dt2D="1" dtr="1" r1="B48" r2="B49" ca="1"/>
        <v>38378024.888808981</v>
      </c>
      <c r="D38" s="88">
        <v>38378024.888808981</v>
      </c>
      <c r="E38" s="88">
        <v>38378024.888808981</v>
      </c>
      <c r="F38" s="88">
        <v>38378024.888808981</v>
      </c>
      <c r="G38" s="88">
        <v>38378024.888808981</v>
      </c>
      <c r="H38" s="88">
        <v>38378024.888808981</v>
      </c>
      <c r="J38" s="34"/>
      <c r="O38" s="34"/>
      <c r="T38" s="34"/>
      <c r="Y38" s="34"/>
      <c r="AD38" s="34"/>
      <c r="AI38" s="34"/>
      <c r="AN38" s="34"/>
    </row>
    <row r="39" spans="2:40" ht="12.75" customHeight="1" x14ac:dyDescent="0.15">
      <c r="B39" s="59">
        <f t="shared" ref="B39:B44" si="4">B38+5%</f>
        <v>0.55000000000000004</v>
      </c>
      <c r="C39" s="88">
        <v>38378024.888808981</v>
      </c>
      <c r="D39" s="88">
        <v>38378024.888808981</v>
      </c>
      <c r="E39" s="88">
        <v>38378024.888808981</v>
      </c>
      <c r="F39" s="88">
        <v>38378024.888808981</v>
      </c>
      <c r="G39" s="88">
        <v>38378024.888808981</v>
      </c>
      <c r="H39" s="88">
        <v>38378024.888808981</v>
      </c>
      <c r="J39" s="34"/>
      <c r="O39" s="34"/>
      <c r="T39" s="34"/>
      <c r="Y39" s="34"/>
      <c r="AD39" s="34"/>
      <c r="AI39" s="34"/>
      <c r="AN39" s="34"/>
    </row>
    <row r="40" spans="2:40" ht="12.75" customHeight="1" x14ac:dyDescent="0.15">
      <c r="B40" s="59">
        <f t="shared" si="4"/>
        <v>0.60000000000000009</v>
      </c>
      <c r="C40" s="88">
        <v>38378024.888808981</v>
      </c>
      <c r="D40" s="88">
        <v>38378024.888808981</v>
      </c>
      <c r="E40" s="88">
        <v>38378024.888808981</v>
      </c>
      <c r="F40" s="88">
        <v>38378024.888808981</v>
      </c>
      <c r="G40" s="88">
        <v>38378024.888808981</v>
      </c>
      <c r="H40" s="88">
        <v>38378024.888808981</v>
      </c>
      <c r="J40" s="34"/>
      <c r="O40" s="34"/>
      <c r="T40" s="34"/>
      <c r="Y40" s="34"/>
      <c r="AD40" s="34"/>
      <c r="AI40" s="34"/>
      <c r="AN40" s="34"/>
    </row>
    <row r="41" spans="2:40" ht="12.75" customHeight="1" x14ac:dyDescent="0.15">
      <c r="B41" s="59">
        <f t="shared" si="4"/>
        <v>0.65000000000000013</v>
      </c>
      <c r="C41" s="88">
        <v>38378024.888808981</v>
      </c>
      <c r="D41" s="88">
        <v>38378024.888808981</v>
      </c>
      <c r="E41" s="88">
        <v>38378024.888808981</v>
      </c>
      <c r="F41" s="88">
        <v>38378024.888808981</v>
      </c>
      <c r="G41" s="88">
        <v>38378024.888808981</v>
      </c>
      <c r="H41" s="88">
        <v>38378024.888808981</v>
      </c>
      <c r="J41" s="34"/>
      <c r="O41" s="34"/>
      <c r="T41" s="34"/>
      <c r="Y41" s="34"/>
      <c r="AD41" s="34"/>
      <c r="AI41" s="34"/>
      <c r="AN41" s="34"/>
    </row>
    <row r="42" spans="2:40" ht="12.75" customHeight="1" x14ac:dyDescent="0.15">
      <c r="B42" s="59">
        <f t="shared" si="4"/>
        <v>0.70000000000000018</v>
      </c>
      <c r="C42" s="88">
        <v>38378024.888808981</v>
      </c>
      <c r="D42" s="88">
        <v>38378024.888808981</v>
      </c>
      <c r="E42" s="88">
        <v>38378024.888808981</v>
      </c>
      <c r="F42" s="88">
        <v>38378024.888808981</v>
      </c>
      <c r="G42" s="88">
        <v>38378024.888808981</v>
      </c>
      <c r="H42" s="88">
        <v>38378024.888808981</v>
      </c>
      <c r="J42" s="34"/>
      <c r="O42" s="34"/>
      <c r="T42" s="34"/>
      <c r="Y42" s="34"/>
      <c r="AD42" s="34"/>
      <c r="AI42" s="34"/>
      <c r="AN42" s="34"/>
    </row>
    <row r="43" spans="2:40" ht="12.75" customHeight="1" x14ac:dyDescent="0.15">
      <c r="B43" s="59">
        <f t="shared" si="4"/>
        <v>0.75000000000000022</v>
      </c>
      <c r="C43" s="88">
        <v>38378024.888808981</v>
      </c>
      <c r="D43" s="88">
        <v>38378024.888808981</v>
      </c>
      <c r="E43" s="88">
        <v>38378024.888808981</v>
      </c>
      <c r="F43" s="88">
        <v>38378024.888808981</v>
      </c>
      <c r="G43" s="88">
        <v>38378024.888808981</v>
      </c>
      <c r="H43" s="88">
        <v>38378024.888808981</v>
      </c>
      <c r="J43" s="34"/>
      <c r="O43" s="34"/>
      <c r="T43" s="34"/>
      <c r="Y43" s="34"/>
      <c r="AD43" s="34"/>
      <c r="AI43" s="34"/>
      <c r="AN43" s="34"/>
    </row>
    <row r="44" spans="2:40" ht="12.75" customHeight="1" x14ac:dyDescent="0.15">
      <c r="B44" s="60">
        <f t="shared" si="4"/>
        <v>0.80000000000000027</v>
      </c>
      <c r="C44" s="88">
        <v>38378024.888808981</v>
      </c>
      <c r="D44" s="88">
        <v>38378024.888808981</v>
      </c>
      <c r="E44" s="88">
        <v>38378024.888808981</v>
      </c>
      <c r="F44" s="88">
        <v>38378024.888808981</v>
      </c>
      <c r="G44" s="88">
        <v>38378024.888808981</v>
      </c>
      <c r="H44" s="88">
        <v>38378024.888808981</v>
      </c>
      <c r="J44" s="34"/>
      <c r="O44" s="34"/>
      <c r="T44" s="34"/>
      <c r="Y44" s="34"/>
      <c r="AD44" s="34"/>
      <c r="AI44" s="34"/>
      <c r="AN44" s="34"/>
    </row>
    <row r="45" spans="2:40" ht="12.75" customHeight="1" x14ac:dyDescent="0.15">
      <c r="J45" s="34"/>
      <c r="O45" s="34"/>
      <c r="T45" s="34"/>
      <c r="Y45" s="34"/>
      <c r="AD45" s="34"/>
      <c r="AI45" s="34"/>
      <c r="AN45" s="34"/>
    </row>
    <row r="46" spans="2:40" ht="12.75" customHeight="1" x14ac:dyDescent="0.15">
      <c r="J46" s="34"/>
      <c r="O46" s="34"/>
      <c r="T46" s="34"/>
      <c r="Y46" s="34"/>
      <c r="AD46" s="34"/>
      <c r="AI46" s="34"/>
      <c r="AN46" s="34"/>
    </row>
    <row r="47" spans="2:40" ht="12.75" hidden="1" customHeight="1" x14ac:dyDescent="0.15">
      <c r="J47" s="34"/>
      <c r="O47" s="34"/>
      <c r="T47" s="34"/>
      <c r="Y47" s="34"/>
      <c r="AD47" s="34"/>
      <c r="AI47" s="34"/>
      <c r="AN47" s="34"/>
    </row>
    <row r="48" spans="2:40" ht="12.75" hidden="1" customHeight="1" x14ac:dyDescent="0.15">
      <c r="B48" s="22">
        <f>INDEX(Ass.!$O$14:$Q$14,MATCH(Ass.!$M$4,Ass.!$O$6:$Q$6,0))</f>
        <v>0.6</v>
      </c>
      <c r="J48" s="34"/>
      <c r="O48" s="34"/>
      <c r="T48" s="34"/>
      <c r="Y48" s="34"/>
      <c r="AD48" s="34"/>
      <c r="AI48" s="34"/>
      <c r="AN48" s="34"/>
    </row>
    <row r="49" spans="2:43" ht="12.75" hidden="1" customHeight="1" x14ac:dyDescent="0.15">
      <c r="B49" s="22">
        <f>INDEX(Ass.!$O$15:$Q$15,MATCH(Ass.!$M$4,Ass.!$O$6:$Q$6,0))</f>
        <v>0.02</v>
      </c>
      <c r="J49" s="34"/>
      <c r="O49" s="34"/>
      <c r="T49" s="34"/>
      <c r="Y49" s="34"/>
      <c r="AD49" s="34"/>
      <c r="AI49" s="34"/>
      <c r="AN49" s="34"/>
    </row>
    <row r="50" spans="2:43" ht="12.75" hidden="1" customHeight="1" x14ac:dyDescent="0.15">
      <c r="J50" s="34"/>
      <c r="O50" s="34"/>
      <c r="T50" s="34"/>
      <c r="Y50" s="34"/>
      <c r="AD50" s="34"/>
      <c r="AI50" s="34"/>
      <c r="AN50" s="34"/>
    </row>
    <row r="51" spans="2:43" s="71" customFormat="1" ht="12.75" hidden="1" customHeight="1" x14ac:dyDescent="0.15">
      <c r="C51" t="s">
        <v>320</v>
      </c>
      <c r="J51" s="43">
        <f ca="1">J15-'3 Stats.'!J41-J53</f>
        <v>6933912.2628454268</v>
      </c>
      <c r="K51" s="44">
        <f ca="1">K15-'3 Stats.'!K41-K53</f>
        <v>3969368.2057242095</v>
      </c>
      <c r="L51" s="44">
        <f ca="1">L15-'3 Stats.'!L41-L53</f>
        <v>2359097.724109903</v>
      </c>
      <c r="M51" s="44">
        <f ca="1">M15-'3 Stats.'!M41-M53</f>
        <v>551790.89683380723</v>
      </c>
      <c r="N51" s="44">
        <f ca="1">N15-'3 Stats.'!N41-N53</f>
        <v>1066019.6789100766</v>
      </c>
      <c r="O51" s="43">
        <f ca="1">O15-'3 Stats.'!O41-O53</f>
        <v>987111.68656644225</v>
      </c>
      <c r="P51" s="44">
        <f ca="1">P15-'3 Stats.'!P41-P53</f>
        <v>880639.28493109345</v>
      </c>
      <c r="Q51" s="44">
        <f ca="1">Q15-'3 Stats.'!Q41-Q53</f>
        <v>841770.59230241179</v>
      </c>
      <c r="R51" s="44">
        <f ca="1">R15-'3 Stats.'!R41-R53</f>
        <v>1073942.9938557297</v>
      </c>
      <c r="S51" s="44">
        <f ca="1">S15-'3 Stats.'!S41-S53</f>
        <v>1027089.2394685149</v>
      </c>
      <c r="T51" s="43">
        <f ca="1">T15-'3 Stats.'!T41-T53</f>
        <v>928405.30804134905</v>
      </c>
      <c r="U51" s="44">
        <f ca="1">U15-'3 Stats.'!U41-U53</f>
        <v>893829.82430592179</v>
      </c>
      <c r="V51" s="44">
        <f ca="1">V15-'3 Stats.'!V41-V53</f>
        <v>551028.35345779359</v>
      </c>
      <c r="W51" s="44">
        <f ca="1">W15-'3 Stats.'!W41-W53</f>
        <v>371421.24898459017</v>
      </c>
      <c r="X51" s="44">
        <f ca="1">X15-'3 Stats.'!X41-X53</f>
        <v>173660.74172791839</v>
      </c>
      <c r="Y51" s="43">
        <f ca="1">Y15-'3 Stats.'!Y41-Y53</f>
        <v>81522.896420359612</v>
      </c>
      <c r="Z51" s="44">
        <f ca="1">Z15-'3 Stats.'!Z41-Z53</f>
        <v>11713.638311207294</v>
      </c>
      <c r="AA51" s="44">
        <f ca="1">AA15-'3 Stats.'!AA41-AA53</f>
        <v>-341148.24132224917</v>
      </c>
      <c r="AB51" s="44">
        <f ca="1">AB15-'3 Stats.'!AB41-AB53</f>
        <v>-430287.10960778594</v>
      </c>
      <c r="AC51" s="44">
        <f ca="1">AC15-'3 Stats.'!AC41-AC53</f>
        <v>-552864.3370577395</v>
      </c>
      <c r="AD51" s="43">
        <f ca="1">AD15-'3 Stats.'!AD41-AD53</f>
        <v>-684459.8045437932</v>
      </c>
      <c r="AE51" s="44">
        <f ca="1">AE15-'3 Stats.'!AE41-AE53</f>
        <v>-825401.99782121181</v>
      </c>
      <c r="AF51" s="44">
        <f ca="1">AF15-'3 Stats.'!AF41-AF53</f>
        <v>-976029.3134277612</v>
      </c>
      <c r="AG51" s="44">
        <f ca="1">AG15-'3 Stats.'!AG41-AG53</f>
        <v>-1136690.3322744668</v>
      </c>
      <c r="AH51" s="44">
        <f ca="1">AH15-'3 Stats.'!AH41-AH53</f>
        <v>-1307744.1003853977</v>
      </c>
      <c r="AI51" s="43">
        <f ca="1">AI15-'3 Stats.'!AI41-AI53</f>
        <v>-1489560.4170055687</v>
      </c>
      <c r="AJ51" s="44">
        <f ca="1">AJ15-'3 Stats.'!AJ41-AJ53</f>
        <v>-1682520.1302471757</v>
      </c>
      <c r="AK51" s="44">
        <f ca="1">AK15-'3 Stats.'!AK41-AK53</f>
        <v>-1887015.4404506087</v>
      </c>
      <c r="AL51" s="44">
        <f ca="1">AL15-'3 Stats.'!AL41-AL53</f>
        <v>-2103450.2114970386</v>
      </c>
      <c r="AM51" s="44">
        <f ca="1">AM15-'3 Stats.'!AM41-AM53</f>
        <v>-2332240.2902276814</v>
      </c>
      <c r="AN51" s="43">
        <f ca="1">AN15-'3 Stats.'!AN41-AN53</f>
        <v>-2573813.8342017233</v>
      </c>
      <c r="AO51" s="44">
        <f ca="1">AO15-'3 Stats.'!AO41-AO53</f>
        <v>-2828611.6479928792</v>
      </c>
      <c r="AP51" s="44">
        <f ca="1">AP15-'3 Stats.'!AP41-AP53</f>
        <v>-3097087.5282523334</v>
      </c>
      <c r="AQ51" s="44">
        <f ca="1">AQ15-'3 Stats.'!AQ41-AQ53</f>
        <v>-3379708.6177423596</v>
      </c>
    </row>
    <row r="52" spans="2:43" s="71" customFormat="1" ht="12.75" hidden="1" customHeight="1" x14ac:dyDescent="0.15">
      <c r="C52" t="s">
        <v>321</v>
      </c>
      <c r="J52" s="34">
        <v>0</v>
      </c>
      <c r="K52">
        <v>0</v>
      </c>
      <c r="L52">
        <v>0</v>
      </c>
      <c r="M52">
        <f>IF(MOD(1,Ass.!$D$35)=0,1,0)</f>
        <v>0</v>
      </c>
      <c r="N52">
        <f>IF(MOD(2,Ass.!$D$35)=0,1,0)</f>
        <v>0</v>
      </c>
      <c r="O52" s="34">
        <f>IF(MOD(3,Ass.!$D$35)=0,1,0)</f>
        <v>0</v>
      </c>
      <c r="P52">
        <f>IF(MOD(4,Ass.!$D$35)=0,1,0)</f>
        <v>0</v>
      </c>
      <c r="Q52">
        <f>IF(MOD(5,Ass.!$D$35)=0,1,0)</f>
        <v>0</v>
      </c>
      <c r="R52">
        <f>IF(MOD(6,Ass.!$D$35)=0,1,0)</f>
        <v>1</v>
      </c>
      <c r="S52">
        <f>IF(MOD(7,Ass.!$D$35)=0,1,0)</f>
        <v>0</v>
      </c>
      <c r="T52" s="34">
        <f>IF(MOD(8,Ass.!$D$35)=0,1,0)</f>
        <v>0</v>
      </c>
      <c r="U52">
        <f>IF(MOD(9,Ass.!$D$35)=0,1,0)</f>
        <v>0</v>
      </c>
      <c r="V52">
        <f>IF(MOD(10,Ass.!$D$35)=0,1,0)</f>
        <v>0</v>
      </c>
      <c r="W52">
        <f>IF(MOD(11,Ass.!$D$35)=0,1,0)</f>
        <v>0</v>
      </c>
      <c r="X52">
        <f>IF(MOD(12,Ass.!$D$35)=0,1,0)</f>
        <v>1</v>
      </c>
      <c r="Y52" s="34">
        <f>IF(MOD(13,Ass.!$D$35)=0,1,0)</f>
        <v>0</v>
      </c>
      <c r="Z52">
        <f>IF(MOD(14,Ass.!$D$35)=0,1,0)</f>
        <v>0</v>
      </c>
      <c r="AA52">
        <f>IF(MOD(15,Ass.!$D$35)=0,1,0)</f>
        <v>0</v>
      </c>
      <c r="AB52">
        <f>IF(MOD(16,Ass.!$D$35)=0,1,0)</f>
        <v>0</v>
      </c>
      <c r="AC52">
        <f>IF(MOD(17,Ass.!$D$35)=0,1,0)</f>
        <v>0</v>
      </c>
      <c r="AD52" s="34">
        <f>IF(MOD(18,Ass.!$D$35)=0,1,0)</f>
        <v>1</v>
      </c>
      <c r="AE52">
        <f>IF(MOD(19,Ass.!$D$35)=0,1,0)</f>
        <v>0</v>
      </c>
      <c r="AF52">
        <f>IF(MOD(20,Ass.!$D$35)=0,1,0)</f>
        <v>0</v>
      </c>
      <c r="AG52">
        <f>IF(MOD(21,Ass.!$D$35)=0,1,0)</f>
        <v>0</v>
      </c>
      <c r="AH52">
        <f>IF(MOD(22,Ass.!$D$35)=0,1,0)</f>
        <v>0</v>
      </c>
      <c r="AI52" s="34">
        <f>IF(MOD(23,Ass.!$D$35)=0,1,0)</f>
        <v>0</v>
      </c>
      <c r="AJ52">
        <f>IF(MOD(24,Ass.!$D$35)=0,1,0)</f>
        <v>1</v>
      </c>
      <c r="AK52">
        <f>IF(MOD(25,Ass.!$D$35)=0,1,0)</f>
        <v>0</v>
      </c>
      <c r="AL52">
        <f>IF(MOD(26,Ass.!$D$35)=0,1,0)</f>
        <v>0</v>
      </c>
      <c r="AM52">
        <f>IF(MOD(27,Ass.!$D$35)=0,1,0)</f>
        <v>0</v>
      </c>
      <c r="AN52" s="34">
        <f>IF(MOD(28,Ass.!$D$35)=0,1,0)</f>
        <v>0</v>
      </c>
      <c r="AO52">
        <f>IF(MOD(29,Ass.!$D$35)=0,1,0)</f>
        <v>0</v>
      </c>
      <c r="AP52">
        <f>IF(MOD(30,Ass.!$D$35)=0,1,0)</f>
        <v>1</v>
      </c>
      <c r="AQ52">
        <f>IF(MOD(31,Ass.!$D$35)=0,1,0)</f>
        <v>0</v>
      </c>
    </row>
    <row r="53" spans="2:43" s="71" customFormat="1" ht="12.75" hidden="1" customHeight="1" x14ac:dyDescent="0.15">
      <c r="C53" t="s">
        <v>322</v>
      </c>
      <c r="J53" s="43">
        <v>0</v>
      </c>
      <c r="K53" s="44">
        <v>0</v>
      </c>
      <c r="L53" s="44">
        <v>0</v>
      </c>
      <c r="M53" s="44">
        <f>Ass.!$D$34/Ass.!$D$35</f>
        <v>1000000</v>
      </c>
      <c r="N53" s="44">
        <f>Ass.!$D$34/Ass.!$D$35</f>
        <v>1000000</v>
      </c>
      <c r="O53" s="43">
        <f>Ass.!$D$34/Ass.!$D$35</f>
        <v>1000000</v>
      </c>
      <c r="P53" s="44">
        <f>Ass.!$D$34/Ass.!$D$35</f>
        <v>1000000</v>
      </c>
      <c r="Q53" s="44">
        <f>Ass.!$D$34/Ass.!$D$35</f>
        <v>1000000</v>
      </c>
      <c r="R53" s="44">
        <f>Ass.!$D$34/Ass.!$D$35</f>
        <v>1000000</v>
      </c>
      <c r="S53" s="44">
        <f>Ass.!$D$34/Ass.!$D$35</f>
        <v>1000000</v>
      </c>
      <c r="T53" s="43">
        <f>Ass.!$D$34/Ass.!$D$35</f>
        <v>1000000</v>
      </c>
      <c r="U53" s="44">
        <f>Ass.!$D$34/Ass.!$D$35</f>
        <v>1000000</v>
      </c>
      <c r="V53" s="44">
        <f>Ass.!$D$34/Ass.!$D$35</f>
        <v>1000000</v>
      </c>
      <c r="W53" s="44">
        <f>Ass.!$D$34/Ass.!$D$35</f>
        <v>1000000</v>
      </c>
      <c r="X53" s="44">
        <f>Ass.!$D$34/Ass.!$D$35</f>
        <v>1000000</v>
      </c>
      <c r="Y53" s="43">
        <f>Ass.!$D$34/Ass.!$D$35</f>
        <v>1000000</v>
      </c>
      <c r="Z53" s="44">
        <f>Ass.!$D$34/Ass.!$D$35</f>
        <v>1000000</v>
      </c>
      <c r="AA53" s="44">
        <f>Ass.!$D$34/Ass.!$D$35</f>
        <v>1000000</v>
      </c>
      <c r="AB53" s="44">
        <f>Ass.!$D$34/Ass.!$D$35</f>
        <v>1000000</v>
      </c>
      <c r="AC53" s="44">
        <f>Ass.!$D$34/Ass.!$D$35</f>
        <v>1000000</v>
      </c>
      <c r="AD53" s="43">
        <f>Ass.!$D$34/Ass.!$D$35</f>
        <v>1000000</v>
      </c>
      <c r="AE53" s="44">
        <f>Ass.!$D$34/Ass.!$D$35</f>
        <v>1000000</v>
      </c>
      <c r="AF53" s="44">
        <f>Ass.!$D$34/Ass.!$D$35</f>
        <v>1000000</v>
      </c>
      <c r="AG53" s="44">
        <f>Ass.!$D$34/Ass.!$D$35</f>
        <v>1000000</v>
      </c>
      <c r="AH53" s="44">
        <f>Ass.!$D$34/Ass.!$D$35</f>
        <v>1000000</v>
      </c>
      <c r="AI53" s="43">
        <f>Ass.!$D$34/Ass.!$D$35</f>
        <v>1000000</v>
      </c>
      <c r="AJ53" s="44">
        <f>Ass.!$D$34/Ass.!$D$35</f>
        <v>1000000</v>
      </c>
      <c r="AK53" s="44">
        <f>Ass.!$D$34/Ass.!$D$35</f>
        <v>1000000</v>
      </c>
      <c r="AL53" s="44">
        <f>Ass.!$D$34/Ass.!$D$35</f>
        <v>1000000</v>
      </c>
      <c r="AM53" s="44">
        <f>Ass.!$D$34/Ass.!$D$35</f>
        <v>1000000</v>
      </c>
      <c r="AN53" s="43">
        <f>Ass.!$D$34/Ass.!$D$35</f>
        <v>1000000</v>
      </c>
      <c r="AO53" s="44">
        <f>Ass.!$D$34/Ass.!$D$35</f>
        <v>1000000</v>
      </c>
      <c r="AP53" s="44">
        <f>Ass.!$D$34/Ass.!$D$35</f>
        <v>1000000</v>
      </c>
      <c r="AQ53" s="44">
        <f>Ass.!$D$34/Ass.!$D$35</f>
        <v>1000000</v>
      </c>
    </row>
    <row r="54" spans="2:43" s="71" customFormat="1" ht="12.75" hidden="1" customHeight="1" x14ac:dyDescent="0.15">
      <c r="C54" t="s">
        <v>323</v>
      </c>
      <c r="J54" s="43">
        <v>0</v>
      </c>
      <c r="K54" s="44">
        <v>0</v>
      </c>
      <c r="L54" s="44">
        <v>0</v>
      </c>
      <c r="M54" s="44">
        <f>L54+M53-M52*Ass.!$D$34</f>
        <v>1000000</v>
      </c>
      <c r="N54" s="44">
        <f>M54+N53-N52*Ass.!$D$34</f>
        <v>2000000</v>
      </c>
      <c r="O54" s="43">
        <f>N54+O53-O52*Ass.!$D$34</f>
        <v>3000000</v>
      </c>
      <c r="P54" s="44">
        <f>O54+P53-P52*Ass.!$D$34</f>
        <v>4000000</v>
      </c>
      <c r="Q54" s="44">
        <f>P54+Q53-Q52*Ass.!$D$34</f>
        <v>5000000</v>
      </c>
      <c r="R54" s="44">
        <f>Q54+R53-R52*Ass.!$D$34</f>
        <v>0</v>
      </c>
      <c r="S54" s="44">
        <f>R54+S53-S52*Ass.!$D$34</f>
        <v>1000000</v>
      </c>
      <c r="T54" s="43">
        <f>S54+T53-T52*Ass.!$D$34</f>
        <v>2000000</v>
      </c>
      <c r="U54" s="44">
        <f>T54+U53-U52*Ass.!$D$34</f>
        <v>3000000</v>
      </c>
      <c r="V54" s="44">
        <f>U54+V53-V52*Ass.!$D$34</f>
        <v>4000000</v>
      </c>
      <c r="W54" s="44">
        <f>V54+W53-W52*Ass.!$D$34</f>
        <v>5000000</v>
      </c>
      <c r="X54" s="44">
        <f>W54+X53-X52*Ass.!$D$34</f>
        <v>0</v>
      </c>
      <c r="Y54" s="43">
        <f>X54+Y53-Y52*Ass.!$D$34</f>
        <v>1000000</v>
      </c>
      <c r="Z54" s="44">
        <f>Y54+Z53-Z52*Ass.!$D$34</f>
        <v>2000000</v>
      </c>
      <c r="AA54" s="44">
        <f>Z54+AA53-AA52*Ass.!$D$34</f>
        <v>3000000</v>
      </c>
      <c r="AB54" s="44">
        <f>AA54+AB53-AB52*Ass.!$D$34</f>
        <v>4000000</v>
      </c>
      <c r="AC54" s="44">
        <f>AB54+AC53-AC52*Ass.!$D$34</f>
        <v>5000000</v>
      </c>
      <c r="AD54" s="43">
        <f>AC54+AD53-AD52*Ass.!$D$34</f>
        <v>0</v>
      </c>
      <c r="AE54" s="44">
        <f>AD54+AE53-AE52*Ass.!$D$34</f>
        <v>1000000</v>
      </c>
      <c r="AF54" s="44">
        <f>AE54+AF53-AF52*Ass.!$D$34</f>
        <v>2000000</v>
      </c>
      <c r="AG54" s="44">
        <f>AF54+AG53-AG52*Ass.!$D$34</f>
        <v>3000000</v>
      </c>
      <c r="AH54" s="44">
        <f>AG54+AH53-AH52*Ass.!$D$34</f>
        <v>4000000</v>
      </c>
      <c r="AI54" s="43">
        <f>AH54+AI53-AI52*Ass.!$D$34</f>
        <v>5000000</v>
      </c>
      <c r="AJ54" s="44">
        <f>AI54+AJ53-AJ52*Ass.!$D$34</f>
        <v>0</v>
      </c>
      <c r="AK54" s="44">
        <f>AJ54+AK53-AK52*Ass.!$D$34</f>
        <v>1000000</v>
      </c>
      <c r="AL54" s="44">
        <f>AK54+AL53-AL52*Ass.!$D$34</f>
        <v>2000000</v>
      </c>
      <c r="AM54" s="44">
        <f>AL54+AM53-AM52*Ass.!$D$34</f>
        <v>3000000</v>
      </c>
      <c r="AN54" s="43">
        <f>AM54+AN53-AN52*Ass.!$D$34</f>
        <v>4000000</v>
      </c>
      <c r="AO54" s="44">
        <f>AN54+AO53-AO52*Ass.!$D$34</f>
        <v>5000000</v>
      </c>
      <c r="AP54" s="44">
        <f>AO54+AP53-AP52*Ass.!$D$34</f>
        <v>0</v>
      </c>
      <c r="AQ54" s="44">
        <f>AP54+AQ53-AQ52*Ass.!$D$34</f>
        <v>1000000</v>
      </c>
    </row>
    <row r="55" spans="2:43" s="71" customFormat="1" ht="12.75" hidden="1" customHeight="1" x14ac:dyDescent="0.15">
      <c r="C55" t="s">
        <v>324</v>
      </c>
      <c r="J55" s="34">
        <f t="shared" ref="J55:AP55" si="5">0.5*K23</f>
        <v>0</v>
      </c>
      <c r="K55">
        <f t="shared" si="5"/>
        <v>0</v>
      </c>
      <c r="L55">
        <f t="shared" ca="1" si="5"/>
        <v>0</v>
      </c>
      <c r="M55">
        <f t="shared" ca="1" si="5"/>
        <v>0</v>
      </c>
      <c r="N55">
        <f t="shared" ca="1" si="5"/>
        <v>0</v>
      </c>
      <c r="O55" s="34">
        <f t="shared" ca="1" si="5"/>
        <v>0</v>
      </c>
      <c r="P55">
        <f t="shared" ca="1" si="5"/>
        <v>0</v>
      </c>
      <c r="Q55">
        <f t="shared" ca="1" si="5"/>
        <v>0</v>
      </c>
      <c r="R55">
        <f t="shared" ca="1" si="5"/>
        <v>0</v>
      </c>
      <c r="S55">
        <f t="shared" ca="1" si="5"/>
        <v>0</v>
      </c>
      <c r="T55" s="34">
        <f t="shared" ca="1" si="5"/>
        <v>0</v>
      </c>
      <c r="U55">
        <f t="shared" ca="1" si="5"/>
        <v>0</v>
      </c>
      <c r="V55">
        <f t="shared" ca="1" si="5"/>
        <v>0</v>
      </c>
      <c r="W55">
        <f t="shared" ca="1" si="5"/>
        <v>0</v>
      </c>
      <c r="X55">
        <f t="shared" ca="1" si="5"/>
        <v>0</v>
      </c>
      <c r="Y55" s="34">
        <f t="shared" ca="1" si="5"/>
        <v>0</v>
      </c>
      <c r="Z55">
        <f t="shared" ca="1" si="5"/>
        <v>0</v>
      </c>
      <c r="AA55">
        <f t="shared" ca="1" si="5"/>
        <v>0</v>
      </c>
      <c r="AB55">
        <f t="shared" ca="1" si="5"/>
        <v>0</v>
      </c>
      <c r="AC55">
        <f t="shared" ca="1" si="5"/>
        <v>0</v>
      </c>
      <c r="AD55" s="34">
        <f t="shared" ca="1" si="5"/>
        <v>0</v>
      </c>
      <c r="AE55">
        <f t="shared" ca="1" si="5"/>
        <v>0</v>
      </c>
      <c r="AF55">
        <f t="shared" ca="1" si="5"/>
        <v>0</v>
      </c>
      <c r="AG55">
        <f t="shared" ca="1" si="5"/>
        <v>0</v>
      </c>
      <c r="AH55">
        <f t="shared" ca="1" si="5"/>
        <v>0</v>
      </c>
      <c r="AI55" s="34">
        <f t="shared" ca="1" si="5"/>
        <v>0</v>
      </c>
      <c r="AJ55">
        <f t="shared" ca="1" si="5"/>
        <v>0</v>
      </c>
      <c r="AK55">
        <f t="shared" ca="1" si="5"/>
        <v>0</v>
      </c>
      <c r="AL55">
        <f t="shared" ca="1" si="5"/>
        <v>0</v>
      </c>
      <c r="AM55">
        <f t="shared" ca="1" si="5"/>
        <v>0</v>
      </c>
      <c r="AN55" s="34">
        <f t="shared" ca="1" si="5"/>
        <v>0</v>
      </c>
      <c r="AO55">
        <f t="shared" ca="1" si="5"/>
        <v>0</v>
      </c>
      <c r="AP55">
        <f t="shared" ca="1" si="5"/>
        <v>0</v>
      </c>
      <c r="AQ55">
        <v>0</v>
      </c>
    </row>
    <row r="56" spans="2:43" s="71" customFormat="1" ht="12.75" hidden="1" customHeight="1" x14ac:dyDescent="0.15">
      <c r="C56" t="s">
        <v>325</v>
      </c>
      <c r="J56" s="43">
        <f ca="1">'3 Stats.'!J50</f>
        <v>6933912.2628454268</v>
      </c>
      <c r="K56" s="44">
        <f ca="1">'3 Stats.'!K50</f>
        <v>10903280.468569636</v>
      </c>
      <c r="L56" s="44">
        <f ca="1">'3 Stats.'!L50</f>
        <v>13262378.192679539</v>
      </c>
      <c r="M56" s="44">
        <f ca="1">'3 Stats.'!M50</f>
        <v>14814169.089513347</v>
      </c>
      <c r="N56" s="44">
        <f ca="1">'3 Stats.'!N50</f>
        <v>16880188.768423423</v>
      </c>
      <c r="O56" s="43">
        <f ca="1">'3 Stats.'!O50</f>
        <v>18867300.454989865</v>
      </c>
      <c r="P56" s="44">
        <f ca="1">'3 Stats.'!P50</f>
        <v>20747939.739920959</v>
      </c>
      <c r="Q56" s="44">
        <f ca="1">'3 Stats.'!Q50</f>
        <v>22589710.332223371</v>
      </c>
      <c r="R56" s="44">
        <f ca="1">'3 Stats.'!R50</f>
        <v>24663653.3260791</v>
      </c>
      <c r="S56" s="44">
        <f ca="1">'3 Stats.'!S50</f>
        <v>26690742.565547615</v>
      </c>
      <c r="T56" s="43">
        <f ca="1">'3 Stats.'!T50</f>
        <v>28619147.873588964</v>
      </c>
      <c r="U56" s="44">
        <f ca="1">'3 Stats.'!U50</f>
        <v>30512977.697894886</v>
      </c>
      <c r="V56" s="44">
        <f ca="1">'3 Stats.'!V50</f>
        <v>32064006.05135268</v>
      </c>
      <c r="W56" s="44">
        <f ca="1">'3 Stats.'!W50</f>
        <v>33435427.30033727</v>
      </c>
      <c r="X56" s="44">
        <f ca="1">'3 Stats.'!X50</f>
        <v>34609088.042065188</v>
      </c>
      <c r="Y56" s="43">
        <f ca="1">'3 Stats.'!Y50</f>
        <v>35690610.938485548</v>
      </c>
      <c r="Z56" s="44">
        <f ca="1">'3 Stats.'!Z50</f>
        <v>36702324.576796755</v>
      </c>
      <c r="AA56" s="44">
        <f ca="1">'3 Stats.'!AA50</f>
        <v>37361176.335474506</v>
      </c>
      <c r="AB56" s="44">
        <f ca="1">'3 Stats.'!AB50</f>
        <v>37930889.22586672</v>
      </c>
      <c r="AC56" s="44">
        <f ca="1">'3 Stats.'!AC50</f>
        <v>38378024.888808981</v>
      </c>
      <c r="AD56" s="43">
        <f ca="1">'3 Stats.'!AD50</f>
        <v>38693565.084265187</v>
      </c>
      <c r="AE56" s="44">
        <f ca="1">'3 Stats.'!AE50</f>
        <v>38868163.086443976</v>
      </c>
      <c r="AF56" s="44">
        <f ca="1">'3 Stats.'!AF50</f>
        <v>38892133.773016214</v>
      </c>
      <c r="AG56" s="44">
        <f ca="1">'3 Stats.'!AG50</f>
        <v>38755443.440741748</v>
      </c>
      <c r="AH56" s="44">
        <f ca="1">'3 Stats.'!AH50</f>
        <v>38447699.34035635</v>
      </c>
      <c r="AI56" s="43">
        <f ca="1">'3 Stats.'!AI50</f>
        <v>37958138.923350781</v>
      </c>
      <c r="AJ56" s="44">
        <f ca="1">'3 Stats.'!AJ50</f>
        <v>37275618.793103606</v>
      </c>
      <c r="AK56" s="44">
        <f ca="1">'3 Stats.'!AK50</f>
        <v>36388603.352652997</v>
      </c>
      <c r="AL56" s="44">
        <f ca="1">'3 Stats.'!AL50</f>
        <v>35285153.141155958</v>
      </c>
      <c r="AM56" s="44">
        <f ca="1">'3 Stats.'!AM50</f>
        <v>33952912.850928277</v>
      </c>
      <c r="AN56" s="43">
        <f ca="1">'3 Stats.'!AN50</f>
        <v>32379099.016726553</v>
      </c>
      <c r="AO56" s="44">
        <f ca="1">'3 Stats.'!AO50</f>
        <v>30550487.368733674</v>
      </c>
      <c r="AP56" s="44">
        <f ca="1">'3 Stats.'!AP50</f>
        <v>28453399.840481341</v>
      </c>
      <c r="AQ56" s="44">
        <f ca="1">'3 Stats.'!AQ50</f>
        <v>26073691.222738981</v>
      </c>
    </row>
    <row r="57" spans="2:43" s="71" customFormat="1" ht="12.75" hidden="1" customHeight="1" x14ac:dyDescent="0.15">
      <c r="C57" t="s">
        <v>326</v>
      </c>
      <c r="J57" s="43">
        <f t="shared" ref="J57:AQ57" ca="1" si="6">J56-J55</f>
        <v>6933912.2628454268</v>
      </c>
      <c r="K57" s="44">
        <f t="shared" ca="1" si="6"/>
        <v>10903280.468569636</v>
      </c>
      <c r="L57" s="44">
        <f t="shared" ca="1" si="6"/>
        <v>13262378.192679539</v>
      </c>
      <c r="M57" s="44">
        <f t="shared" ca="1" si="6"/>
        <v>14814169.089513347</v>
      </c>
      <c r="N57" s="44">
        <f t="shared" ca="1" si="6"/>
        <v>16880188.768423423</v>
      </c>
      <c r="O57" s="43">
        <f t="shared" ca="1" si="6"/>
        <v>18867300.454989865</v>
      </c>
      <c r="P57" s="44">
        <f t="shared" ca="1" si="6"/>
        <v>20747939.739920959</v>
      </c>
      <c r="Q57" s="44">
        <f t="shared" ca="1" si="6"/>
        <v>22589710.332223371</v>
      </c>
      <c r="R57" s="44">
        <f t="shared" ca="1" si="6"/>
        <v>24663653.3260791</v>
      </c>
      <c r="S57" s="44">
        <f t="shared" ca="1" si="6"/>
        <v>26690742.565547615</v>
      </c>
      <c r="T57" s="43">
        <f t="shared" ca="1" si="6"/>
        <v>28619147.873588964</v>
      </c>
      <c r="U57" s="44">
        <f t="shared" ca="1" si="6"/>
        <v>30512977.697894886</v>
      </c>
      <c r="V57" s="44">
        <f t="shared" ca="1" si="6"/>
        <v>32064006.05135268</v>
      </c>
      <c r="W57" s="44">
        <f t="shared" ca="1" si="6"/>
        <v>33435427.30033727</v>
      </c>
      <c r="X57" s="44">
        <f t="shared" ca="1" si="6"/>
        <v>34609088.042065188</v>
      </c>
      <c r="Y57" s="43">
        <f t="shared" ca="1" si="6"/>
        <v>35690610.938485548</v>
      </c>
      <c r="Z57" s="44">
        <f t="shared" ca="1" si="6"/>
        <v>36702324.576796755</v>
      </c>
      <c r="AA57" s="44">
        <f t="shared" ca="1" si="6"/>
        <v>37361176.335474506</v>
      </c>
      <c r="AB57" s="44">
        <f t="shared" ca="1" si="6"/>
        <v>37930889.22586672</v>
      </c>
      <c r="AC57" s="44">
        <f t="shared" ca="1" si="6"/>
        <v>38378024.888808981</v>
      </c>
      <c r="AD57" s="43">
        <f t="shared" ca="1" si="6"/>
        <v>38693565.084265187</v>
      </c>
      <c r="AE57" s="44">
        <f t="shared" ca="1" si="6"/>
        <v>38868163.086443976</v>
      </c>
      <c r="AF57" s="44">
        <f t="shared" ca="1" si="6"/>
        <v>38892133.773016214</v>
      </c>
      <c r="AG57" s="44">
        <f t="shared" ca="1" si="6"/>
        <v>38755443.440741748</v>
      </c>
      <c r="AH57" s="44">
        <f t="shared" ca="1" si="6"/>
        <v>38447699.34035635</v>
      </c>
      <c r="AI57" s="43">
        <f t="shared" ca="1" si="6"/>
        <v>37958138.923350781</v>
      </c>
      <c r="AJ57" s="44">
        <f t="shared" ca="1" si="6"/>
        <v>37275618.793103606</v>
      </c>
      <c r="AK57" s="44">
        <f t="shared" ca="1" si="6"/>
        <v>36388603.352652997</v>
      </c>
      <c r="AL57" s="44">
        <f t="shared" ca="1" si="6"/>
        <v>35285153.141155958</v>
      </c>
      <c r="AM57" s="44">
        <f t="shared" ca="1" si="6"/>
        <v>33952912.850928277</v>
      </c>
      <c r="AN57" s="43">
        <f t="shared" ca="1" si="6"/>
        <v>32379099.016726553</v>
      </c>
      <c r="AO57" s="44">
        <f t="shared" ca="1" si="6"/>
        <v>30550487.368733674</v>
      </c>
      <c r="AP57" s="44">
        <f t="shared" ca="1" si="6"/>
        <v>28453399.840481341</v>
      </c>
      <c r="AQ57" s="44">
        <f t="shared" ca="1" si="6"/>
        <v>26073691.222738981</v>
      </c>
    </row>
    <row r="58" spans="2:43" hidden="1" x14ac:dyDescent="0.15"/>
  </sheetData>
  <conditionalFormatting sqref="C38:H44">
    <cfRule type="colorScale" priority="1">
      <colorScale>
        <cfvo type="min"/>
        <cfvo type="max"/>
        <color theme="4"/>
        <color rgb="FF00B050"/>
      </colorScale>
    </cfRule>
  </conditionalFormatting>
  <pageMargins left="0.7" right="0.7" top="0.75" bottom="0.75" header="0.511811023622047" footer="0.511811023622047"/>
  <pageSetup paperSize="9" fitToHeight="0" orientation="landscape" horizontalDpi="300" verticalDpi="30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pageSetUpPr fitToPage="1"/>
  </sheetPr>
  <dimension ref="B3:AQ27"/>
  <sheetViews>
    <sheetView showGridLines="0" zoomScaleNormal="100" workbookViewId="0">
      <pane xSplit="9" ySplit="5" topLeftCell="AC6" activePane="bottomRight" state="frozen"/>
      <selection activeCell="M14" sqref="M14"/>
      <selection pane="topRight" activeCell="M14" sqref="M14"/>
      <selection pane="bottomLeft" activeCell="M14" sqref="M14"/>
      <selection pane="bottomRight" activeCell="A22" sqref="A22:I22"/>
    </sheetView>
  </sheetViews>
  <sheetFormatPr baseColWidth="10" defaultColWidth="8.6640625" defaultRowHeight="13" x14ac:dyDescent="0.15"/>
  <cols>
    <col min="3" max="3" width="10.33203125" customWidth="1"/>
    <col min="4" max="4" width="14" bestFit="1" customWidth="1"/>
    <col min="7" max="7" width="14" customWidth="1"/>
    <col min="10" max="43" width="11.5" customWidth="1"/>
  </cols>
  <sheetData>
    <row r="3" spans="2:43" ht="12.75" customHeight="1" x14ac:dyDescent="0.15">
      <c r="H3" t="s">
        <v>205</v>
      </c>
    </row>
    <row r="4" spans="2:43" ht="12.75" customHeight="1" x14ac:dyDescent="0.15">
      <c r="H4" t="s">
        <v>206</v>
      </c>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row>
    <row r="5" spans="2:43" ht="12.75" customHeight="1" x14ac:dyDescent="0.15">
      <c r="H5" t="s">
        <v>207</v>
      </c>
      <c r="J5" s="32">
        <v>2027</v>
      </c>
      <c r="K5" s="33">
        <f t="shared" ref="K5:AQ5" si="0">J5+1</f>
        <v>2028</v>
      </c>
      <c r="L5" s="33">
        <f t="shared" si="0"/>
        <v>2029</v>
      </c>
      <c r="M5" s="33">
        <f t="shared" si="0"/>
        <v>2030</v>
      </c>
      <c r="N5" s="33">
        <f t="shared" si="0"/>
        <v>2031</v>
      </c>
      <c r="O5" s="32">
        <f t="shared" si="0"/>
        <v>2032</v>
      </c>
      <c r="P5" s="33">
        <f t="shared" si="0"/>
        <v>2033</v>
      </c>
      <c r="Q5" s="33">
        <f t="shared" si="0"/>
        <v>2034</v>
      </c>
      <c r="R5" s="33">
        <f t="shared" si="0"/>
        <v>2035</v>
      </c>
      <c r="S5" s="33">
        <f t="shared" si="0"/>
        <v>2036</v>
      </c>
      <c r="T5" s="32">
        <f t="shared" si="0"/>
        <v>2037</v>
      </c>
      <c r="U5" s="33">
        <f t="shared" si="0"/>
        <v>2038</v>
      </c>
      <c r="V5" s="33">
        <f t="shared" si="0"/>
        <v>2039</v>
      </c>
      <c r="W5" s="33">
        <f t="shared" si="0"/>
        <v>2040</v>
      </c>
      <c r="X5" s="33">
        <f t="shared" si="0"/>
        <v>2041</v>
      </c>
      <c r="Y5" s="32">
        <f t="shared" si="0"/>
        <v>2042</v>
      </c>
      <c r="Z5" s="33">
        <f t="shared" si="0"/>
        <v>2043</v>
      </c>
      <c r="AA5" s="33">
        <f t="shared" si="0"/>
        <v>2044</v>
      </c>
      <c r="AB5" s="33">
        <f t="shared" si="0"/>
        <v>2045</v>
      </c>
      <c r="AC5" s="33">
        <f t="shared" si="0"/>
        <v>2046</v>
      </c>
      <c r="AD5" s="32">
        <f t="shared" si="0"/>
        <v>2047</v>
      </c>
      <c r="AE5" s="33">
        <f t="shared" si="0"/>
        <v>2048</v>
      </c>
      <c r="AF5" s="33">
        <f t="shared" si="0"/>
        <v>2049</v>
      </c>
      <c r="AG5" s="33">
        <f t="shared" si="0"/>
        <v>2050</v>
      </c>
      <c r="AH5" s="33">
        <f t="shared" si="0"/>
        <v>2051</v>
      </c>
      <c r="AI5" s="32">
        <f t="shared" si="0"/>
        <v>2052</v>
      </c>
      <c r="AJ5" s="33">
        <f t="shared" si="0"/>
        <v>2053</v>
      </c>
      <c r="AK5" s="33">
        <f t="shared" si="0"/>
        <v>2054</v>
      </c>
      <c r="AL5" s="33">
        <f t="shared" si="0"/>
        <v>2055</v>
      </c>
      <c r="AM5" s="33">
        <f t="shared" si="0"/>
        <v>2056</v>
      </c>
      <c r="AN5" s="32">
        <f t="shared" si="0"/>
        <v>2057</v>
      </c>
      <c r="AO5" s="33">
        <f t="shared" si="0"/>
        <v>2058</v>
      </c>
      <c r="AP5" s="33">
        <f t="shared" si="0"/>
        <v>2059</v>
      </c>
      <c r="AQ5" s="33">
        <f t="shared" si="0"/>
        <v>2060</v>
      </c>
    </row>
    <row r="6" spans="2:43" ht="12.75" customHeight="1" x14ac:dyDescent="0.15">
      <c r="J6" s="34"/>
      <c r="O6" s="34"/>
      <c r="T6" s="34"/>
      <c r="Y6" s="34"/>
      <c r="AD6" s="34"/>
      <c r="AI6" s="34"/>
      <c r="AN6" s="34"/>
    </row>
    <row r="7" spans="2:43" ht="12.75" customHeight="1" x14ac:dyDescent="0.15">
      <c r="B7" t="s">
        <v>327</v>
      </c>
      <c r="J7" s="76">
        <f ca="1">Financ.!J25</f>
        <v>0</v>
      </c>
      <c r="K7" s="77">
        <f ca="1">Financ.!K25</f>
        <v>0</v>
      </c>
      <c r="L7" s="77">
        <f ca="1">Financ.!L25</f>
        <v>0</v>
      </c>
      <c r="M7" s="77">
        <f ca="1">Financ.!M25</f>
        <v>0</v>
      </c>
      <c r="N7" s="77">
        <f ca="1">Financ.!N25</f>
        <v>0</v>
      </c>
      <c r="O7" s="76">
        <f>Financ.!O25</f>
        <v>0</v>
      </c>
      <c r="P7" s="77">
        <f>Financ.!P25</f>
        <v>0</v>
      </c>
      <c r="Q7" s="77">
        <f>Financ.!Q25</f>
        <v>0</v>
      </c>
      <c r="R7" s="77">
        <f>Financ.!R25</f>
        <v>0</v>
      </c>
      <c r="S7" s="77">
        <f>Financ.!S25</f>
        <v>0</v>
      </c>
      <c r="T7" s="76">
        <f>Financ.!T25</f>
        <v>0</v>
      </c>
      <c r="U7" s="77">
        <f>Financ.!U25</f>
        <v>0</v>
      </c>
      <c r="V7" s="77">
        <f>Financ.!V25</f>
        <v>0</v>
      </c>
      <c r="W7" s="77">
        <f>Financ.!W25</f>
        <v>0</v>
      </c>
      <c r="X7" s="77">
        <f>Financ.!X25</f>
        <v>0</v>
      </c>
      <c r="Y7" s="76">
        <f>Financ.!Y25</f>
        <v>0</v>
      </c>
      <c r="Z7" s="77">
        <f>Financ.!Z25</f>
        <v>0</v>
      </c>
      <c r="AA7" s="77">
        <f>Financ.!AA25</f>
        <v>0</v>
      </c>
      <c r="AB7" s="77">
        <f>Financ.!AB25</f>
        <v>0</v>
      </c>
      <c r="AC7" s="77">
        <f>Financ.!AC25</f>
        <v>0</v>
      </c>
      <c r="AD7" s="76">
        <f>Financ.!AD25</f>
        <v>0</v>
      </c>
      <c r="AE7" s="77">
        <f>Financ.!AE25</f>
        <v>0</v>
      </c>
      <c r="AF7" s="77">
        <f>Financ.!AF25</f>
        <v>0</v>
      </c>
      <c r="AG7" s="77">
        <f>Financ.!AG25</f>
        <v>0</v>
      </c>
      <c r="AH7" s="77">
        <f>Financ.!AH25</f>
        <v>0</v>
      </c>
      <c r="AI7" s="76">
        <f>Financ.!AI25</f>
        <v>0</v>
      </c>
      <c r="AJ7" s="77">
        <f>Financ.!AJ25</f>
        <v>0</v>
      </c>
      <c r="AK7" s="77">
        <f>Financ.!AK25</f>
        <v>0</v>
      </c>
      <c r="AL7" s="77">
        <f>Financ.!AL25</f>
        <v>0</v>
      </c>
      <c r="AM7" s="77">
        <f>Financ.!AM25</f>
        <v>0</v>
      </c>
      <c r="AN7" s="76">
        <f>Financ.!AN25</f>
        <v>0</v>
      </c>
      <c r="AO7" s="77">
        <f>Financ.!AO25</f>
        <v>0</v>
      </c>
      <c r="AP7" s="77">
        <f>Financ.!AP25</f>
        <v>0</v>
      </c>
      <c r="AQ7" s="77">
        <f>Financ.!AQ25</f>
        <v>0</v>
      </c>
    </row>
    <row r="8" spans="2:43" ht="12.75" customHeight="1" x14ac:dyDescent="0.15">
      <c r="J8" s="41"/>
      <c r="K8" s="21"/>
      <c r="L8" s="21"/>
      <c r="M8" s="21"/>
      <c r="N8" s="21"/>
      <c r="O8" s="41"/>
      <c r="P8" s="21"/>
      <c r="Q8" s="21"/>
      <c r="R8" s="21"/>
      <c r="S8" s="21"/>
      <c r="T8" s="41"/>
      <c r="U8" s="21"/>
      <c r="V8" s="21"/>
      <c r="W8" s="21"/>
      <c r="X8" s="21"/>
      <c r="Y8" s="41"/>
      <c r="Z8" s="21"/>
      <c r="AA8" s="21"/>
      <c r="AB8" s="21"/>
      <c r="AC8" s="21"/>
      <c r="AD8" s="41"/>
      <c r="AE8" s="21"/>
      <c r="AF8" s="21"/>
      <c r="AG8" s="21"/>
      <c r="AH8" s="21"/>
      <c r="AI8" s="41"/>
      <c r="AJ8" s="21"/>
      <c r="AK8" s="21"/>
      <c r="AL8" s="21"/>
      <c r="AM8" s="21"/>
      <c r="AN8" s="41"/>
      <c r="AO8" s="21"/>
      <c r="AP8" s="21"/>
      <c r="AQ8" s="21"/>
    </row>
    <row r="9" spans="2:43" ht="12.75" customHeight="1" x14ac:dyDescent="0.15">
      <c r="B9" t="s">
        <v>328</v>
      </c>
      <c r="J9" s="43">
        <f ca="1">'3 Stats.'!J44</f>
        <v>6933912.2628454268</v>
      </c>
      <c r="K9" s="44">
        <f ca="1">'3 Stats.'!K44</f>
        <v>3969368.2057242095</v>
      </c>
      <c r="L9" s="44">
        <f ca="1">'3 Stats.'!L44</f>
        <v>2359097.724109903</v>
      </c>
      <c r="M9" s="44">
        <f ca="1">'3 Stats.'!M44</f>
        <v>1551790.8968338072</v>
      </c>
      <c r="N9" s="44">
        <f ca="1">'3 Stats.'!N44</f>
        <v>2066019.6789100766</v>
      </c>
      <c r="O9" s="43">
        <f ca="1">'3 Stats.'!O44</f>
        <v>1987111.6865664423</v>
      </c>
      <c r="P9" s="44">
        <f ca="1">'3 Stats.'!P44</f>
        <v>1880639.2849310935</v>
      </c>
      <c r="Q9" s="44">
        <f ca="1">'3 Stats.'!Q44</f>
        <v>1841770.5923024118</v>
      </c>
      <c r="R9" s="44">
        <f ca="1">'3 Stats.'!R44</f>
        <v>2073942.9938557297</v>
      </c>
      <c r="S9" s="44">
        <f ca="1">'3 Stats.'!S44</f>
        <v>2027089.2394685149</v>
      </c>
      <c r="T9" s="43">
        <f ca="1">'3 Stats.'!T44</f>
        <v>1928405.3080413491</v>
      </c>
      <c r="U9" s="44">
        <f ca="1">'3 Stats.'!U44</f>
        <v>1893829.8243059218</v>
      </c>
      <c r="V9" s="44">
        <f ca="1">'3 Stats.'!V44</f>
        <v>1551028.3534577936</v>
      </c>
      <c r="W9" s="44">
        <f ca="1">'3 Stats.'!W44</f>
        <v>1371421.2489845902</v>
      </c>
      <c r="X9" s="44">
        <f ca="1">'3 Stats.'!X44</f>
        <v>1173660.7417279184</v>
      </c>
      <c r="Y9" s="43">
        <f ca="1">'3 Stats.'!Y44</f>
        <v>1081522.8964203596</v>
      </c>
      <c r="Z9" s="44">
        <f ca="1">'3 Stats.'!Z44</f>
        <v>1011713.6383112073</v>
      </c>
      <c r="AA9" s="44">
        <f ca="1">'3 Stats.'!AA44</f>
        <v>658851.75867775083</v>
      </c>
      <c r="AB9" s="44">
        <f ca="1">'3 Stats.'!AB44</f>
        <v>569712.89039221406</v>
      </c>
      <c r="AC9" s="44">
        <f ca="1">'3 Stats.'!AC44</f>
        <v>447135.6629422605</v>
      </c>
      <c r="AD9" s="43">
        <f ca="1">'3 Stats.'!AD44</f>
        <v>315540.1954562068</v>
      </c>
      <c r="AE9" s="44">
        <f ca="1">'3 Stats.'!AE44</f>
        <v>174598.00217878819</v>
      </c>
      <c r="AF9" s="44">
        <f ca="1">'3 Stats.'!AF44</f>
        <v>23970.686572238803</v>
      </c>
      <c r="AG9" s="44">
        <f ca="1">'3 Stats.'!AG44</f>
        <v>-136690.33227446675</v>
      </c>
      <c r="AH9" s="44">
        <f ca="1">'3 Stats.'!AH44</f>
        <v>-307744.10038539767</v>
      </c>
      <c r="AI9" s="43">
        <f ca="1">'3 Stats.'!AI44</f>
        <v>-489560.41700556874</v>
      </c>
      <c r="AJ9" s="44">
        <f ca="1">'3 Stats.'!AJ44</f>
        <v>-682520.13024717569</v>
      </c>
      <c r="AK9" s="44">
        <f ca="1">'3 Stats.'!AK44</f>
        <v>-887015.44045060873</v>
      </c>
      <c r="AL9" s="44">
        <f ca="1">'3 Stats.'!AL44</f>
        <v>-1103450.2114970386</v>
      </c>
      <c r="AM9" s="44">
        <f ca="1">'3 Stats.'!AM44</f>
        <v>-1332240.2902276814</v>
      </c>
      <c r="AN9" s="43">
        <f ca="1">'3 Stats.'!AN44</f>
        <v>-1573813.8342017233</v>
      </c>
      <c r="AO9" s="44">
        <f ca="1">'3 Stats.'!AO44</f>
        <v>-1828611.6479928792</v>
      </c>
      <c r="AP9" s="44">
        <f ca="1">'3 Stats.'!AP44</f>
        <v>-2097087.5282523334</v>
      </c>
      <c r="AQ9" s="44">
        <f ca="1">'3 Stats.'!AQ44</f>
        <v>-2379708.6177423596</v>
      </c>
    </row>
    <row r="10" spans="2:43" ht="12.75" customHeight="1" x14ac:dyDescent="0.15">
      <c r="J10" s="41"/>
      <c r="K10" s="21"/>
      <c r="L10" s="21"/>
      <c r="M10" s="21"/>
      <c r="N10" s="21"/>
      <c r="O10" s="41"/>
      <c r="P10" s="21"/>
      <c r="Q10" s="21"/>
      <c r="R10" s="21"/>
      <c r="S10" s="21"/>
      <c r="T10" s="41"/>
      <c r="U10" s="21"/>
      <c r="V10" s="21"/>
      <c r="W10" s="21"/>
      <c r="X10" s="21"/>
      <c r="Y10" s="41"/>
      <c r="Z10" s="21"/>
      <c r="AA10" s="21"/>
      <c r="AB10" s="21"/>
      <c r="AC10" s="21"/>
      <c r="AD10" s="41"/>
      <c r="AE10" s="21"/>
      <c r="AF10" s="21"/>
      <c r="AG10" s="21"/>
      <c r="AH10" s="21"/>
      <c r="AI10" s="41"/>
      <c r="AJ10" s="21"/>
      <c r="AK10" s="21"/>
      <c r="AL10" s="21"/>
      <c r="AM10" s="21"/>
      <c r="AN10" s="41"/>
      <c r="AO10" s="21"/>
      <c r="AP10" s="21"/>
      <c r="AQ10" s="21"/>
    </row>
    <row r="11" spans="2:43" ht="12.75" customHeight="1" x14ac:dyDescent="0.15">
      <c r="B11" t="s">
        <v>329</v>
      </c>
      <c r="J11" s="43">
        <f t="shared" ref="J11:AQ11" ca="1" si="1">SUM(-J7,J9)</f>
        <v>6933912.2628454268</v>
      </c>
      <c r="K11" s="44">
        <f t="shared" ca="1" si="1"/>
        <v>3969368.2057242095</v>
      </c>
      <c r="L11" s="44">
        <f t="shared" ca="1" si="1"/>
        <v>2359097.724109903</v>
      </c>
      <c r="M11" s="44">
        <f t="shared" ca="1" si="1"/>
        <v>1551790.8968338072</v>
      </c>
      <c r="N11" s="44">
        <f t="shared" ca="1" si="1"/>
        <v>2066019.6789100766</v>
      </c>
      <c r="O11" s="43">
        <f t="shared" ca="1" si="1"/>
        <v>1987111.6865664423</v>
      </c>
      <c r="P11" s="44">
        <f t="shared" ca="1" si="1"/>
        <v>1880639.2849310935</v>
      </c>
      <c r="Q11" s="44">
        <f t="shared" ca="1" si="1"/>
        <v>1841770.5923024118</v>
      </c>
      <c r="R11" s="44">
        <f t="shared" ca="1" si="1"/>
        <v>2073942.9938557297</v>
      </c>
      <c r="S11" s="44">
        <f t="shared" ca="1" si="1"/>
        <v>2027089.2394685149</v>
      </c>
      <c r="T11" s="43">
        <f t="shared" ca="1" si="1"/>
        <v>1928405.3080413491</v>
      </c>
      <c r="U11" s="44">
        <f t="shared" ca="1" si="1"/>
        <v>1893829.8243059218</v>
      </c>
      <c r="V11" s="44">
        <f t="shared" ca="1" si="1"/>
        <v>1551028.3534577936</v>
      </c>
      <c r="W11" s="44">
        <f t="shared" ca="1" si="1"/>
        <v>1371421.2489845902</v>
      </c>
      <c r="X11" s="44">
        <f t="shared" ca="1" si="1"/>
        <v>1173660.7417279184</v>
      </c>
      <c r="Y11" s="43">
        <f t="shared" ca="1" si="1"/>
        <v>1081522.8964203596</v>
      </c>
      <c r="Z11" s="44">
        <f t="shared" ca="1" si="1"/>
        <v>1011713.6383112073</v>
      </c>
      <c r="AA11" s="44">
        <f t="shared" ca="1" si="1"/>
        <v>658851.75867775083</v>
      </c>
      <c r="AB11" s="44">
        <f t="shared" ca="1" si="1"/>
        <v>569712.89039221406</v>
      </c>
      <c r="AC11" s="44">
        <f t="shared" ca="1" si="1"/>
        <v>447135.6629422605</v>
      </c>
      <c r="AD11" s="43">
        <f t="shared" ca="1" si="1"/>
        <v>315540.1954562068</v>
      </c>
      <c r="AE11" s="44">
        <f t="shared" ca="1" si="1"/>
        <v>174598.00217878819</v>
      </c>
      <c r="AF11" s="44">
        <f t="shared" ca="1" si="1"/>
        <v>23970.686572238803</v>
      </c>
      <c r="AG11" s="44">
        <f t="shared" ca="1" si="1"/>
        <v>-136690.33227446675</v>
      </c>
      <c r="AH11" s="44">
        <f t="shared" ca="1" si="1"/>
        <v>-307744.10038539767</v>
      </c>
      <c r="AI11" s="43">
        <f t="shared" ca="1" si="1"/>
        <v>-489560.41700556874</v>
      </c>
      <c r="AJ11" s="44">
        <f t="shared" ca="1" si="1"/>
        <v>-682520.13024717569</v>
      </c>
      <c r="AK11" s="44">
        <f t="shared" ca="1" si="1"/>
        <v>-887015.44045060873</v>
      </c>
      <c r="AL11" s="44">
        <f t="shared" ca="1" si="1"/>
        <v>-1103450.2114970386</v>
      </c>
      <c r="AM11" s="44">
        <f t="shared" ca="1" si="1"/>
        <v>-1332240.2902276814</v>
      </c>
      <c r="AN11" s="43">
        <f t="shared" ca="1" si="1"/>
        <v>-1573813.8342017233</v>
      </c>
      <c r="AO11" s="44">
        <f t="shared" ca="1" si="1"/>
        <v>-1828611.6479928792</v>
      </c>
      <c r="AP11" s="44">
        <f t="shared" ca="1" si="1"/>
        <v>-2097087.5282523334</v>
      </c>
      <c r="AQ11" s="44">
        <f t="shared" ca="1" si="1"/>
        <v>-2379708.6177423596</v>
      </c>
    </row>
    <row r="12" spans="2:43" ht="12.75" customHeight="1" x14ac:dyDescent="0.15">
      <c r="J12" s="34"/>
      <c r="O12" s="34"/>
      <c r="T12" s="34"/>
      <c r="Y12" s="34"/>
      <c r="AD12" s="34"/>
      <c r="AI12" s="34"/>
      <c r="AN12" s="34"/>
    </row>
    <row r="13" spans="2:43" ht="12.75" customHeight="1" x14ac:dyDescent="0.15">
      <c r="B13" t="s">
        <v>330</v>
      </c>
      <c r="J13" s="43">
        <f ca="1">SUM($J$11:J11)</f>
        <v>6933912.2628454268</v>
      </c>
      <c r="K13" s="44">
        <f ca="1">SUM($J$11:K11)</f>
        <v>10903280.468569636</v>
      </c>
      <c r="L13" s="44">
        <f ca="1">SUM($J$11:L11)</f>
        <v>13262378.192679539</v>
      </c>
      <c r="M13" s="44">
        <f ca="1">SUM($J$11:M11)</f>
        <v>14814169.089513347</v>
      </c>
      <c r="N13" s="44">
        <f ca="1">SUM($J$11:N11)</f>
        <v>16880188.768423423</v>
      </c>
      <c r="O13" s="43">
        <f ca="1">SUM($J$11:O11)</f>
        <v>18867300.454989865</v>
      </c>
      <c r="P13" s="44">
        <f ca="1">SUM($J$11:P11)</f>
        <v>20747939.739920959</v>
      </c>
      <c r="Q13" s="44">
        <f ca="1">SUM($J$11:Q11)</f>
        <v>22589710.332223371</v>
      </c>
      <c r="R13" s="44">
        <f ca="1">SUM($J$11:R11)</f>
        <v>24663653.3260791</v>
      </c>
      <c r="S13" s="44">
        <f ca="1">SUM($J$11:S11)</f>
        <v>26690742.565547615</v>
      </c>
      <c r="T13" s="43">
        <f ca="1">SUM($J$11:T11)</f>
        <v>28619147.873588964</v>
      </c>
      <c r="U13" s="44">
        <f ca="1">SUM($J$11:U11)</f>
        <v>30512977.697894886</v>
      </c>
      <c r="V13" s="44">
        <f ca="1">SUM($J$11:V11)</f>
        <v>32064006.05135268</v>
      </c>
      <c r="W13" s="44">
        <f ca="1">SUM($J$11:W11)</f>
        <v>33435427.30033727</v>
      </c>
      <c r="X13" s="44">
        <f ca="1">SUM($J$11:X11)</f>
        <v>34609088.042065188</v>
      </c>
      <c r="Y13" s="43">
        <f ca="1">SUM($J$11:Y11)</f>
        <v>35690610.938485548</v>
      </c>
      <c r="Z13" s="44">
        <f ca="1">SUM($J$11:Z11)</f>
        <v>36702324.576796755</v>
      </c>
      <c r="AA13" s="44">
        <f ca="1">SUM($J$11:AA11)</f>
        <v>37361176.335474506</v>
      </c>
      <c r="AB13" s="44">
        <f ca="1">SUM($J$11:AB11)</f>
        <v>37930889.22586672</v>
      </c>
      <c r="AC13" s="44">
        <f ca="1">SUM($J$11:AC11)</f>
        <v>38378024.888808981</v>
      </c>
      <c r="AD13" s="43">
        <f ca="1">SUM($J$11:AD11)</f>
        <v>38693565.084265187</v>
      </c>
      <c r="AE13" s="44">
        <f ca="1">SUM($J$11:AE11)</f>
        <v>38868163.086443976</v>
      </c>
      <c r="AF13" s="44">
        <f ca="1">SUM($J$11:AF11)</f>
        <v>38892133.773016214</v>
      </c>
      <c r="AG13" s="44">
        <f ca="1">SUM($J$11:AG11)</f>
        <v>38755443.440741748</v>
      </c>
      <c r="AH13" s="44">
        <f ca="1">SUM($J$11:AH11)</f>
        <v>38447699.34035635</v>
      </c>
      <c r="AI13" s="43">
        <f ca="1">SUM($J$11:AI11)</f>
        <v>37958138.923350781</v>
      </c>
      <c r="AJ13" s="44">
        <f ca="1">SUM($J$11:AJ11)</f>
        <v>37275618.793103606</v>
      </c>
      <c r="AK13" s="44">
        <f ca="1">SUM($J$11:AK11)</f>
        <v>36388603.352652997</v>
      </c>
      <c r="AL13" s="44">
        <f ca="1">SUM($J$11:AL11)</f>
        <v>35285153.141155958</v>
      </c>
      <c r="AM13" s="44">
        <f ca="1">SUM($J$11:AM11)</f>
        <v>33952912.850928277</v>
      </c>
      <c r="AN13" s="43">
        <f ca="1">SUM($J$11:AN11)</f>
        <v>32379099.016726553</v>
      </c>
      <c r="AO13" s="44">
        <f ca="1">SUM($J$11:AO11)</f>
        <v>30550487.368733674</v>
      </c>
      <c r="AP13" s="44">
        <f ca="1">SUM($J$11:AP11)</f>
        <v>28453399.840481341</v>
      </c>
      <c r="AQ13" s="44">
        <f ca="1">SUM($J$11:AQ11)</f>
        <v>26073691.222738981</v>
      </c>
    </row>
    <row r="14" spans="2:43" ht="12.75" customHeight="1" x14ac:dyDescent="0.15">
      <c r="J14" s="34"/>
      <c r="O14" s="34"/>
      <c r="T14" s="34"/>
      <c r="Y14" s="34"/>
      <c r="AD14" s="34"/>
      <c r="AI14" s="34"/>
      <c r="AN14" s="34"/>
    </row>
    <row r="15" spans="2:43" ht="12.75" customHeight="1" x14ac:dyDescent="0.15">
      <c r="J15" s="34"/>
      <c r="O15" s="34"/>
      <c r="T15" s="34"/>
      <c r="Y15" s="34"/>
      <c r="AD15" s="34"/>
      <c r="AI15" s="34"/>
      <c r="AN15" s="34"/>
    </row>
    <row r="16" spans="2:43" ht="12.75" customHeight="1" x14ac:dyDescent="0.15">
      <c r="B16" t="s">
        <v>39</v>
      </c>
      <c r="C16" s="47">
        <f ca="1">IFERROR(IRR(J11:AQ11),"n/a (never turns net cash positive)")</f>
        <v>-4.7764645343147172E-2</v>
      </c>
      <c r="J16" s="34"/>
      <c r="O16" s="34"/>
      <c r="T16" s="34"/>
      <c r="Y16" s="34"/>
      <c r="AD16" s="34"/>
      <c r="AI16" s="34"/>
      <c r="AN16" s="34"/>
    </row>
    <row r="17" spans="2:43" ht="12.75" customHeight="1" x14ac:dyDescent="0.15">
      <c r="C17" s="47"/>
      <c r="J17" s="34"/>
      <c r="O17" s="34"/>
      <c r="T17" s="34"/>
      <c r="Y17" s="34"/>
      <c r="AD17" s="34"/>
      <c r="AI17" s="34"/>
      <c r="AN17" s="34"/>
    </row>
    <row r="18" spans="2:43" ht="12.75" customHeight="1" x14ac:dyDescent="0.15">
      <c r="B18" t="s">
        <v>331</v>
      </c>
      <c r="J18" s="34"/>
      <c r="O18" s="34"/>
      <c r="T18" s="34"/>
      <c r="Y18" s="34"/>
      <c r="AD18" s="34"/>
      <c r="AI18" s="34"/>
      <c r="AN18" s="34"/>
    </row>
    <row r="19" spans="2:43" ht="12.75" customHeight="1" x14ac:dyDescent="0.15">
      <c r="C19" t="s">
        <v>332</v>
      </c>
      <c r="D19" s="48">
        <f>Ass.!D29</f>
        <v>0.06</v>
      </c>
      <c r="J19" s="34"/>
      <c r="O19" s="34"/>
      <c r="T19" s="34"/>
      <c r="Y19" s="34"/>
      <c r="AD19" s="34"/>
      <c r="AI19" s="34"/>
      <c r="AN19" s="34"/>
    </row>
    <row r="20" spans="2:43" ht="12.75" customHeight="1" x14ac:dyDescent="0.15">
      <c r="C20" t="s">
        <v>42</v>
      </c>
      <c r="D20" s="69">
        <f>Ass.!D29*IF(Ass.!D11=1,Ass.!D17,1)+(AVERAGE(Ass.!K43:AR43)+Ass.!D19)*(IF(Ass.!D11=1,Ass.!D16,0)*(1-Ass.!D37))</f>
        <v>0.06</v>
      </c>
      <c r="J20" s="34"/>
      <c r="O20" s="34"/>
      <c r="T20" s="34"/>
      <c r="Y20" s="34"/>
      <c r="AD20" s="34"/>
      <c r="AI20" s="34"/>
      <c r="AN20" s="34"/>
    </row>
    <row r="21" spans="2:43" ht="12.75" customHeight="1" x14ac:dyDescent="0.15">
      <c r="J21" s="34"/>
      <c r="O21" s="34"/>
      <c r="T21" s="34"/>
      <c r="Y21" s="34"/>
      <c r="AD21" s="34"/>
      <c r="AI21" s="34"/>
      <c r="AN21" s="34"/>
    </row>
    <row r="22" spans="2:43" s="23" customFormat="1" ht="12.75" customHeight="1" x14ac:dyDescent="0.15">
      <c r="C22" t="s">
        <v>333</v>
      </c>
      <c r="J22" s="43">
        <f ca="1">'3 Stats.'!J72</f>
        <v>9367100.8638007361</v>
      </c>
      <c r="K22" s="44">
        <f ca="1">'3 Stats.'!K72</f>
        <v>7143692.8209598232</v>
      </c>
      <c r="L22" s="44">
        <f ca="1">'3 Stats.'!L72</f>
        <v>5935989.9597490933</v>
      </c>
      <c r="M22" s="44">
        <f ca="1">'3 Stats.'!M72</f>
        <v>5330509.8392920215</v>
      </c>
      <c r="N22" s="44">
        <f ca="1">'3 Stats.'!N72</f>
        <v>5716181.4258492235</v>
      </c>
      <c r="O22" s="43">
        <f ca="1">'3 Stats.'!O72</f>
        <v>5657000.4315914977</v>
      </c>
      <c r="P22" s="44">
        <f ca="1">'3 Stats.'!P72</f>
        <v>5577146.1303649861</v>
      </c>
      <c r="Q22" s="44">
        <f ca="1">'3 Stats.'!Q72</f>
        <v>5547994.6108934749</v>
      </c>
      <c r="R22" s="44">
        <f ca="1">'3 Stats.'!R72</f>
        <v>5722123.9120584633</v>
      </c>
      <c r="S22" s="44">
        <f ca="1">'3 Stats.'!S72</f>
        <v>5686983.5962680522</v>
      </c>
      <c r="T22" s="43">
        <f ca="1">'3 Stats.'!T72</f>
        <v>5612970.6476976778</v>
      </c>
      <c r="U22" s="44">
        <f ca="1">'3 Stats.'!U72</f>
        <v>5587039.0348961074</v>
      </c>
      <c r="V22" s="44">
        <f ca="1">'3 Stats.'!V72</f>
        <v>5329937.9317600112</v>
      </c>
      <c r="W22" s="44">
        <f ca="1">'3 Stats.'!W72</f>
        <v>5195232.6034051087</v>
      </c>
      <c r="X22" s="44">
        <f ca="1">'3 Stats.'!X72</f>
        <v>5046912.2229626048</v>
      </c>
      <c r="Y22" s="43">
        <f ca="1">'3 Stats.'!Y72</f>
        <v>4977808.8389819358</v>
      </c>
      <c r="Z22" s="44">
        <f ca="1">'3 Stats.'!Z72</f>
        <v>4925451.8954000715</v>
      </c>
      <c r="AA22" s="44">
        <f ca="1">'3 Stats.'!AA72</f>
        <v>4660805.4856749792</v>
      </c>
      <c r="AB22" s="44">
        <f ca="1">'3 Stats.'!AB72</f>
        <v>4593951.3344608266</v>
      </c>
      <c r="AC22" s="44">
        <f ca="1">'3 Stats.'!AC72</f>
        <v>4502018.4138733614</v>
      </c>
      <c r="AD22" s="43">
        <f ca="1">'3 Stats.'!AD72</f>
        <v>4403321.8132588211</v>
      </c>
      <c r="AE22" s="44">
        <f ca="1">'3 Stats.'!AE72</f>
        <v>4297615.1683007572</v>
      </c>
      <c r="AF22" s="44">
        <f ca="1">'3 Stats.'!AF72</f>
        <v>4184644.6815958451</v>
      </c>
      <c r="AG22" s="44">
        <f ca="1">'3 Stats.'!AG72</f>
        <v>4064148.9174608178</v>
      </c>
      <c r="AH22" s="44">
        <f ca="1">'3 Stats.'!AH72</f>
        <v>3935858.5913776197</v>
      </c>
      <c r="AI22" s="43">
        <f ca="1">'3 Stats.'!AI72</f>
        <v>3799496.3539124914</v>
      </c>
      <c r="AJ22" s="44">
        <f ca="1">'3 Stats.'!AJ72</f>
        <v>3654776.5689812861</v>
      </c>
      <c r="AK22" s="44">
        <f ca="1">'3 Stats.'!AK72</f>
        <v>3501405.0863287114</v>
      </c>
      <c r="AL22" s="44">
        <f ca="1">'3 Stats.'!AL72</f>
        <v>3339079.008043889</v>
      </c>
      <c r="AM22" s="44">
        <f ca="1">'3 Stats.'!AM72</f>
        <v>3167486.4489959069</v>
      </c>
      <c r="AN22" s="43">
        <f ca="1">'3 Stats.'!AN72</f>
        <v>2986306.2910153754</v>
      </c>
      <c r="AO22" s="44">
        <f ca="1">'3 Stats.'!AO72</f>
        <v>2795207.9306720085</v>
      </c>
      <c r="AP22" s="44">
        <f ca="1">'3 Stats.'!AP72</f>
        <v>2593851.0204774179</v>
      </c>
      <c r="AQ22" s="44">
        <f ca="1">'3 Stats.'!AQ72</f>
        <v>2381885.2033598982</v>
      </c>
    </row>
    <row r="23" spans="2:43" ht="12.75" customHeight="1" x14ac:dyDescent="0.15">
      <c r="C23" t="s">
        <v>334</v>
      </c>
      <c r="D23" s="77">
        <f ca="1">SUM(J23:AQ23)</f>
        <v>82652349.072364762</v>
      </c>
      <c r="G23" s="49">
        <f ca="1">SUM(J23:AQ23)</f>
        <v>82652349.072364762</v>
      </c>
      <c r="H23" s="49"/>
      <c r="I23" s="49"/>
      <c r="J23" s="43">
        <f t="shared" ref="J23:AQ23" ca="1" si="2">J22/(1+$D$20)^(J5-$J$5)</f>
        <v>9367100.8638007361</v>
      </c>
      <c r="K23" s="44">
        <f t="shared" ca="1" si="2"/>
        <v>6739332.8499620967</v>
      </c>
      <c r="L23" s="44">
        <f t="shared" ca="1" si="2"/>
        <v>5283009.9321369641</v>
      </c>
      <c r="M23" s="44">
        <f t="shared" ca="1" si="2"/>
        <v>4475598.8494629962</v>
      </c>
      <c r="N23" s="44">
        <f t="shared" ca="1" si="2"/>
        <v>4527751.0853340421</v>
      </c>
      <c r="O23" s="43">
        <f t="shared" ca="1" si="2"/>
        <v>4227239.8064135583</v>
      </c>
      <c r="P23" s="44">
        <f t="shared" ca="1" si="2"/>
        <v>3931667.9501731498</v>
      </c>
      <c r="Q23" s="44">
        <f t="shared" ca="1" si="2"/>
        <v>3689733.2823130898</v>
      </c>
      <c r="R23" s="44">
        <f t="shared" ca="1" si="2"/>
        <v>3590131.3327763695</v>
      </c>
      <c r="S23" s="44">
        <f t="shared" ca="1" si="2"/>
        <v>3366116.8527515163</v>
      </c>
      <c r="T23" s="43">
        <f t="shared" ca="1" si="2"/>
        <v>3134253.4926522495</v>
      </c>
      <c r="U23" s="44">
        <f t="shared" ca="1" si="2"/>
        <v>2943182.4674593084</v>
      </c>
      <c r="V23" s="44">
        <f t="shared" ca="1" si="2"/>
        <v>2648815.8618516871</v>
      </c>
      <c r="W23" s="44">
        <f t="shared" ca="1" si="2"/>
        <v>2435727.7741025663</v>
      </c>
      <c r="X23" s="44">
        <f t="shared" ca="1" si="2"/>
        <v>2232254.143355919</v>
      </c>
      <c r="Y23" s="43">
        <f t="shared" ca="1" si="2"/>
        <v>2077065.7075277071</v>
      </c>
      <c r="Z23" s="44">
        <f t="shared" ca="1" si="2"/>
        <v>1938885.834230277</v>
      </c>
      <c r="AA23" s="44">
        <f t="shared" ca="1" si="2"/>
        <v>1730857.3193811944</v>
      </c>
      <c r="AB23" s="44">
        <f t="shared" ca="1" si="2"/>
        <v>1609462.3267780733</v>
      </c>
      <c r="AC23" s="44">
        <f t="shared" ca="1" si="2"/>
        <v>1487975.65929234</v>
      </c>
      <c r="AD23" s="43">
        <f t="shared" ca="1" si="2"/>
        <v>1372976.5553747041</v>
      </c>
      <c r="AE23" s="44">
        <f t="shared" ca="1" si="2"/>
        <v>1264166.7205787834</v>
      </c>
      <c r="AF23" s="44">
        <f t="shared" ca="1" si="2"/>
        <v>1161260.227892753</v>
      </c>
      <c r="AG23" s="44">
        <f t="shared" ca="1" si="2"/>
        <v>1063983.055839086</v>
      </c>
      <c r="AH23" s="44">
        <f t="shared" ca="1" si="2"/>
        <v>972072.64134685416</v>
      </c>
      <c r="AI23" s="43">
        <f t="shared" ca="1" si="2"/>
        <v>885277.44706615387</v>
      </c>
      <c r="AJ23" s="44">
        <f t="shared" ca="1" si="2"/>
        <v>803356.5428022308</v>
      </c>
      <c r="AK23" s="44">
        <f t="shared" ca="1" si="2"/>
        <v>726079.20074222388</v>
      </c>
      <c r="AL23" s="44">
        <f t="shared" ca="1" si="2"/>
        <v>653224.50413641043</v>
      </c>
      <c r="AM23" s="44">
        <f t="shared" ca="1" si="2"/>
        <v>584580.96910987771</v>
      </c>
      <c r="AN23" s="43">
        <f t="shared" ca="1" si="2"/>
        <v>519946.17926793772</v>
      </c>
      <c r="AO23" s="44">
        <f t="shared" ca="1" si="2"/>
        <v>459126.43276579853</v>
      </c>
      <c r="AP23" s="44">
        <f t="shared" ca="1" si="2"/>
        <v>401936.40151121886</v>
      </c>
      <c r="AQ23" s="44">
        <f t="shared" ca="1" si="2"/>
        <v>348198.80217486131</v>
      </c>
    </row>
    <row r="24" spans="2:43" ht="12.75" customHeight="1" x14ac:dyDescent="0.15">
      <c r="D24" s="77"/>
      <c r="J24" s="34"/>
      <c r="O24" s="34"/>
      <c r="T24" s="34"/>
      <c r="Y24" s="34"/>
      <c r="AD24" s="34"/>
      <c r="AI24" s="34"/>
      <c r="AN24" s="34"/>
    </row>
    <row r="25" spans="2:43" ht="12.75" customHeight="1" x14ac:dyDescent="0.15">
      <c r="C25" s="2" t="s">
        <v>335</v>
      </c>
      <c r="D25" s="77">
        <f ca="1">D23</f>
        <v>82652349.072364762</v>
      </c>
      <c r="J25" s="34"/>
      <c r="O25" s="34"/>
      <c r="T25" s="34"/>
      <c r="Y25" s="34"/>
      <c r="AD25" s="34"/>
      <c r="AI25" s="34"/>
      <c r="AN25" s="34"/>
    </row>
    <row r="26" spans="2:43" ht="12.75" customHeight="1" x14ac:dyDescent="0.15">
      <c r="D26" s="77"/>
      <c r="J26" s="34"/>
      <c r="O26" s="34"/>
      <c r="T26" s="34"/>
      <c r="Y26" s="34"/>
      <c r="AD26" s="34"/>
      <c r="AI26" s="34"/>
      <c r="AN26" s="34"/>
    </row>
    <row r="27" spans="2:43" ht="12.75" customHeight="1" x14ac:dyDescent="0.15">
      <c r="C27" s="2" t="s">
        <v>336</v>
      </c>
      <c r="D27" s="77">
        <f ca="1">SUM(J27:AQ27)</f>
        <v>25590745.363509264</v>
      </c>
      <c r="J27" s="43">
        <f t="shared" ref="J27:AQ27" ca="1" si="3">J11/(1+$D$19)^(J5-$J$5)</f>
        <v>6933912.2628454268</v>
      </c>
      <c r="K27" s="44">
        <f t="shared" ca="1" si="3"/>
        <v>3744686.9865322728</v>
      </c>
      <c r="L27" s="44">
        <f t="shared" ca="1" si="3"/>
        <v>2099588.5761035089</v>
      </c>
      <c r="M27" s="44">
        <f t="shared" ca="1" si="3"/>
        <v>1302913.5602156536</v>
      </c>
      <c r="N27" s="44">
        <f t="shared" ca="1" si="3"/>
        <v>1636481.0957897212</v>
      </c>
      <c r="O27" s="43">
        <f t="shared" ca="1" si="3"/>
        <v>1484885.4481844283</v>
      </c>
      <c r="P27" s="44">
        <f t="shared" ca="1" si="3"/>
        <v>1325776.48667711</v>
      </c>
      <c r="Q27" s="44">
        <f t="shared" ca="1" si="3"/>
        <v>1224882.6340711422</v>
      </c>
      <c r="R27" s="44">
        <f t="shared" ca="1" si="3"/>
        <v>1301217.4918027904</v>
      </c>
      <c r="S27" s="44">
        <f t="shared" ca="1" si="3"/>
        <v>1199831.0062796609</v>
      </c>
      <c r="T27" s="43">
        <f t="shared" ca="1" si="3"/>
        <v>1076811.4517856783</v>
      </c>
      <c r="U27" s="44">
        <f t="shared" ca="1" si="3"/>
        <v>997645.92665896402</v>
      </c>
      <c r="V27" s="44">
        <f t="shared" ca="1" si="3"/>
        <v>770813.57370780269</v>
      </c>
      <c r="W27" s="44">
        <f t="shared" ca="1" si="3"/>
        <v>642975.79745645926</v>
      </c>
      <c r="X27" s="44">
        <f t="shared" ca="1" si="3"/>
        <v>519111.27792082052</v>
      </c>
      <c r="Y27" s="43">
        <f t="shared" ca="1" si="3"/>
        <v>451281.71706171887</v>
      </c>
      <c r="Z27" s="44">
        <f t="shared" ca="1" si="3"/>
        <v>398257.31390273635</v>
      </c>
      <c r="AA27" s="44">
        <f t="shared" ca="1" si="3"/>
        <v>244674.10030294527</v>
      </c>
      <c r="AB27" s="44">
        <f t="shared" ca="1" si="3"/>
        <v>199595.37387518512</v>
      </c>
      <c r="AC27" s="44">
        <f t="shared" ca="1" si="3"/>
        <v>147784.15406062416</v>
      </c>
      <c r="AD27" s="43">
        <f t="shared" ca="1" si="3"/>
        <v>98386.924465804215</v>
      </c>
      <c r="AE27" s="44">
        <f t="shared" ca="1" si="3"/>
        <v>51358.945645483953</v>
      </c>
      <c r="AF27" s="44">
        <f t="shared" ca="1" si="3"/>
        <v>6651.9877001858722</v>
      </c>
      <c r="AG27" s="44">
        <f t="shared" ca="1" si="3"/>
        <v>-35785.15462664498</v>
      </c>
      <c r="AH27" s="44">
        <f t="shared" ca="1" si="3"/>
        <v>-76006.191171577972</v>
      </c>
      <c r="AI27" s="43">
        <f t="shared" ca="1" si="3"/>
        <v>-114066.90671121339</v>
      </c>
      <c r="AJ27" s="44">
        <f t="shared" ca="1" si="3"/>
        <v>-150024.76947069069</v>
      </c>
      <c r="AK27" s="44">
        <f t="shared" ca="1" si="3"/>
        <v>-183938.57499181313</v>
      </c>
      <c r="AL27" s="44">
        <f t="shared" ca="1" si="3"/>
        <v>-215868.12276916808</v>
      </c>
      <c r="AM27" s="44">
        <f t="shared" ca="1" si="3"/>
        <v>-245873.92321612081</v>
      </c>
      <c r="AN27" s="43">
        <f t="shared" ca="1" si="3"/>
        <v>-274016.9327018293</v>
      </c>
      <c r="AO27" s="44">
        <f t="shared" ca="1" si="3"/>
        <v>-300358.31454410451</v>
      </c>
      <c r="AP27" s="44">
        <f t="shared" ca="1" si="3"/>
        <v>-324959.2239899183</v>
      </c>
      <c r="AQ27" s="44">
        <f t="shared" ca="1" si="3"/>
        <v>-347880.61534377938</v>
      </c>
    </row>
  </sheetData>
  <pageMargins left="0.7" right="0.7" top="0.75" bottom="0.75" header="0.511811023622047" footer="0.511811023622047"/>
  <pageSetup paperSize="9" fitToHeight="0"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Output</vt:lpstr>
      <vt:lpstr>Graphs</vt:lpstr>
      <vt:lpstr>Ass.</vt:lpstr>
      <vt:lpstr>Scen. &amp; Sensi.</vt:lpstr>
      <vt:lpstr>IM Price Import</vt:lpstr>
      <vt:lpstr>Gas prc.</vt:lpstr>
      <vt:lpstr>Elec prc.</vt:lpstr>
      <vt:lpstr>Const.</vt:lpstr>
      <vt:lpstr>Ops.</vt:lpstr>
      <vt:lpstr>Rev.</vt:lpstr>
      <vt:lpstr>3 Stats.</vt:lpstr>
      <vt:lpstr>Financ.</vt:lpstr>
      <vt:lpstr>Gear.</vt:lpstr>
      <vt:lpstr>Val.</vt:lpstr>
      <vt:lpstr>'3 Stats.'!Print_Area</vt:lpstr>
      <vt:lpstr>Ass.!Print_Area</vt:lpstr>
      <vt:lpstr>Const.!Print_Area</vt:lpstr>
      <vt:lpstr>'Elec prc.'!Print_Area</vt:lpstr>
      <vt:lpstr>Financ.!Print_Area</vt:lpstr>
      <vt:lpstr>'Gas prc.'!Print_Area</vt:lpstr>
      <vt:lpstr>Gear.!Print_Area</vt:lpstr>
      <vt:lpstr>Ops.!Print_Area</vt:lpstr>
      <vt:lpstr>Output!Print_Area</vt:lpstr>
      <vt:lpstr>Rev.!Print_Area</vt:lpstr>
      <vt:lpstr>'Scen. &amp; Sensi.'!Print_Area</vt:lpstr>
      <vt:lpstr>Val.!Print_Area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500MW Merchant Gas CCGT — Financial Model</dc:title>
  <dc:subject>Project finance model</dc:subject>
  <dc:creator>Pichon Raphaël (HVB - UniCredit)</dc:creator>
  <cp:lastModifiedBy>Raphael Pichon</cp:lastModifiedBy>
  <cp:revision>21</cp:revision>
  <dcterms:created xsi:type="dcterms:W3CDTF">2022-04-06T16:07:50Z</dcterms:created>
  <dcterms:modified xsi:type="dcterms:W3CDTF">2026-09-20T17:13:13Z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9db9e61-aac5-4f6e-805d-ceb8cb9983a1_ActionId">
    <vt:lpwstr>915d6a1b-e831-4090-ab47-15692d03fced</vt:lpwstr>
  </property>
  <property fmtid="{D5CDD505-2E9C-101B-9397-08002B2CF9AE}" pid="3" name="MSIP_Label_29db9e61-aac5-4f6e-805d-ceb8cb9983a1_ContentBits">
    <vt:lpwstr>0</vt:lpwstr>
  </property>
  <property fmtid="{D5CDD505-2E9C-101B-9397-08002B2CF9AE}" pid="4" name="MSIP_Label_29db9e61-aac5-4f6e-805d-ceb8cb9983a1_Enabled">
    <vt:lpwstr>true</vt:lpwstr>
  </property>
  <property fmtid="{D5CDD505-2E9C-101B-9397-08002B2CF9AE}" pid="5" name="MSIP_Label_29db9e61-aac5-4f6e-805d-ceb8cb9983a1_Method">
    <vt:lpwstr>Standard</vt:lpwstr>
  </property>
  <property fmtid="{D5CDD505-2E9C-101B-9397-08002B2CF9AE}" pid="6" name="MSIP_Label_29db9e61-aac5-4f6e-805d-ceb8cb9983a1_Name">
    <vt:lpwstr>UniCredit - Internal Use Only - no visual markings</vt:lpwstr>
  </property>
  <property fmtid="{D5CDD505-2E9C-101B-9397-08002B2CF9AE}" pid="7" name="MSIP_Label_29db9e61-aac5-4f6e-805d-ceb8cb9983a1_SetDate">
    <vt:lpwstr>2026-08-17T11:52:46Z</vt:lpwstr>
  </property>
  <property fmtid="{D5CDD505-2E9C-101B-9397-08002B2CF9AE}" pid="8" name="MSIP_Label_29db9e61-aac5-4f6e-805d-ceb8cb9983a1_SiteId">
    <vt:lpwstr>2cc49ce9-66a1-41ac-a96b-bdc54247696a</vt:lpwstr>
  </property>
  <property fmtid="{D5CDD505-2E9C-101B-9397-08002B2CF9AE}" pid="9" name="MSIP_Label_29db9e61-aac5-4f6e-805d-ceb8cb9983a1_Tag">
    <vt:lpwstr>10, 3, 0, 1</vt:lpwstr>
  </property>
</Properties>
</file>